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7935" activeTab="1"/>
  </bookViews>
  <sheets>
    <sheet name="Работы  обоснов." sheetId="1" r:id="rId1"/>
    <sheet name="Тариф обоснов" sheetId="2" r:id="rId2"/>
  </sheets>
  <definedNames>
    <definedName name="_xlnm.Print_Titles" localSheetId="0">'Работы  обоснов.'!$3:$3</definedName>
    <definedName name="_xlnm.Print_Area" localSheetId="0">'Работы  обоснов.'!$B$1:$R$73</definedName>
    <definedName name="_xlnm.Print_Area" localSheetId="1">'Тариф обоснов'!$A$8:$I$47</definedName>
  </definedNames>
  <calcPr fullCalcOnLoad="1"/>
</workbook>
</file>

<file path=xl/sharedStrings.xml><?xml version="1.0" encoding="utf-8"?>
<sst xmlns="http://schemas.openxmlformats.org/spreadsheetml/2006/main" count="212" uniqueCount="188">
  <si>
    <t>№ п/п</t>
  </si>
  <si>
    <t>Работа</t>
  </si>
  <si>
    <t>Измеритель</t>
  </si>
  <si>
    <t>Кол-во ед. изм.</t>
  </si>
  <si>
    <t>Перио- дичность в год</t>
  </si>
  <si>
    <t>Труд. ресурсы, руб.</t>
  </si>
  <si>
    <t>Матер. ресурсы, руб.</t>
  </si>
  <si>
    <t>Маш. мех., руб.</t>
  </si>
  <si>
    <t>Накл. расходы, руб.</t>
  </si>
  <si>
    <t>Прибыль, руб.</t>
  </si>
  <si>
    <t>Управл. расходы, руб.</t>
  </si>
  <si>
    <t>Стоимость, руб.</t>
  </si>
  <si>
    <t xml:space="preserve">без лифтов и мусоропроводов, на примере ул. Маяковского, д.92 </t>
  </si>
  <si>
    <t>конструктивные элементы</t>
  </si>
  <si>
    <t>крыши и кровли</t>
  </si>
  <si>
    <t>Мелкий ремонт кровли (постановка заплат, до 10 кв.м. в год на дом)</t>
  </si>
  <si>
    <t>100 м2 заплаты</t>
  </si>
  <si>
    <t>оконные и дверные проемы</t>
  </si>
  <si>
    <t>Осмотр состояния  входных дверей, при необходимости мелкий ремонт (без ремонта кодовых замков, домофонов и доводчиков)</t>
  </si>
  <si>
    <t>10 пог.м.</t>
  </si>
  <si>
    <t>внутридомовое инженерное оборудование и технические устройства</t>
  </si>
  <si>
    <t>система водоснабжения</t>
  </si>
  <si>
    <t>Осмотр системы водоснабжения, проверка запорной арматуры</t>
  </si>
  <si>
    <t>1000 м трубопроводов</t>
  </si>
  <si>
    <t>система водоотведения</t>
  </si>
  <si>
    <t>Осмотр системы водоотведения,  проверка запорной арматуры</t>
  </si>
  <si>
    <t>система газоснабжения</t>
  </si>
  <si>
    <t>Визуальная проверка соответствия прокладки стальных газопроводов в жилом помещении нормативным требованиям,  по фасаду здания, в подъездах, состояния газопровода креплений и футляров.  Проверка загазованности футляров, герметичности соединений, работоспос</t>
  </si>
  <si>
    <t xml:space="preserve">по договору* </t>
  </si>
  <si>
    <t>внутридомовое электрооборудование</t>
  </si>
  <si>
    <t>Обслуживание, при необходимости ремонт или замена выключателя в местах общего пользования</t>
  </si>
  <si>
    <t>1 выключатель</t>
  </si>
  <si>
    <t>Обслуживание, при необходимости ремонт светильника с лампами накаливания или энергосберегающими лампами  ( без замены светильника)</t>
  </si>
  <si>
    <t>1 светильник</t>
  </si>
  <si>
    <t>Замена лампы  накаливания (без стоимости лампы), по необходимости не менее 20 шт в год на дом</t>
  </si>
  <si>
    <t>1 лампа</t>
  </si>
  <si>
    <t>подготовка мкд к сезонной эксплуатации, проведение технических осмотров</t>
  </si>
  <si>
    <t>Осмотр состояния остекления мест общего пользования, при необходимости мелкий ремонт остекления до 1 кв.м. в год на дом</t>
  </si>
  <si>
    <t>100 м фальца</t>
  </si>
  <si>
    <t>Осмотр кровли на предмет протечек и повреждений</t>
  </si>
  <si>
    <t>1000 кв.м. кровли</t>
  </si>
  <si>
    <t>Обслуживание систем водоснабжения и водоотведения, при необходимости мелкий ремонт (заделка свищей и трещин, смена отдельных участков трубопровода системы водоотведения до 1 метра в год на дом)</t>
  </si>
  <si>
    <t>100 квартир</t>
  </si>
  <si>
    <t>Осмотр  электросети, арматуры, электрооборудования на лестничных клетках</t>
  </si>
  <si>
    <t>100 лестничных площадок</t>
  </si>
  <si>
    <t>Плановая проверка изоляции электропроводки, при необходимости  ее укрепление</t>
  </si>
  <si>
    <t>100 м</t>
  </si>
  <si>
    <t>Плановая  проверка заземления оболочки электрокабеля</t>
  </si>
  <si>
    <t>Плановые замеры сопротивления изоляции проводов</t>
  </si>
  <si>
    <t xml:space="preserve">измерение 1         </t>
  </si>
  <si>
    <t xml:space="preserve">Полный осмотр системы отопления </t>
  </si>
  <si>
    <t>1000 м2 осматриваемых помещений</t>
  </si>
  <si>
    <t xml:space="preserve"> Наладка и при необходимости  регулировка исистемы центрального  отопления</t>
  </si>
  <si>
    <t>1 здание</t>
  </si>
  <si>
    <t>Первое рабочее испытание отдельных частей системы</t>
  </si>
  <si>
    <t>100 м трубопровода</t>
  </si>
  <si>
    <t>Рабочая проверка системы в целом</t>
  </si>
  <si>
    <t>Окончательная проверка при сдаче системы</t>
  </si>
  <si>
    <t>Промывка трубопроводов системы центрального отопления</t>
  </si>
  <si>
    <t>10 м трубопровода</t>
  </si>
  <si>
    <t>Ликвидация воздушных пробок в стояке системы отопления</t>
  </si>
  <si>
    <t>100 стояков</t>
  </si>
  <si>
    <t>устранение аварий на внутридомовых инженерных сетях</t>
  </si>
  <si>
    <t>Аварийно-диспетчерское обслуживание**</t>
  </si>
  <si>
    <t>1000 м2  общей площади жилых помещений</t>
  </si>
  <si>
    <t>санитарное содержание мест общего пользования (в границах межевания)</t>
  </si>
  <si>
    <t>Сдвижка и подметание снега в границах межевания при снегопаде</t>
  </si>
  <si>
    <t>10 000 кв.м. территории</t>
  </si>
  <si>
    <t>Очистка кровли от мусора и листьев</t>
  </si>
  <si>
    <t>100 кв.м кровли</t>
  </si>
  <si>
    <t>Уборка крыльца и площадки перед входом в подъезд (в холодный период года)</t>
  </si>
  <si>
    <t>100 кв.м</t>
  </si>
  <si>
    <t>Уборка крыльца и площадки перед входом в подъезд (в теплый период года)</t>
  </si>
  <si>
    <t xml:space="preserve">Дератизация ( от крыс) </t>
  </si>
  <si>
    <t>по договору***</t>
  </si>
  <si>
    <t xml:space="preserve">Дезинсекция ( влажная от блошек ) </t>
  </si>
  <si>
    <t>ИТОГО:</t>
  </si>
  <si>
    <t>ИТОГО ПО СМЕТЕ</t>
  </si>
  <si>
    <t>Трудовые ресурсы, руб.:</t>
  </si>
  <si>
    <t>Накладные расходы, руб.:</t>
  </si>
  <si>
    <t>Материальные ресурсы, руб.:</t>
  </si>
  <si>
    <t>Прибыль, руб.:</t>
  </si>
  <si>
    <t>Машины/механизмы, руб.:</t>
  </si>
  <si>
    <t>Управленческие расходы, руб.:</t>
  </si>
  <si>
    <t>ИТОГО, руб.:</t>
  </si>
  <si>
    <t>Площадь дома</t>
  </si>
  <si>
    <t>итого: 4928/154 = 32 вызова в год на 1 дом</t>
  </si>
  <si>
    <t>***Дератизация (по договору)</t>
  </si>
  <si>
    <t>всего площадь для дератизации</t>
  </si>
  <si>
    <t>ст-ть разовой дератизации (по договору)</t>
  </si>
  <si>
    <t>итого разовая дератизация на все мкд</t>
  </si>
  <si>
    <t>руб.</t>
  </si>
  <si>
    <t>итого годовая обработка (6 раз)</t>
  </si>
  <si>
    <t>всего жилая площадь мкд с подвалами</t>
  </si>
  <si>
    <t>Тариф на 1 кв.м. в мес.</t>
  </si>
  <si>
    <t>руб. в мес на 1 кв.м.</t>
  </si>
  <si>
    <t>***Дезинсекция (по договору)</t>
  </si>
  <si>
    <t>всего площадь для дезинсекции</t>
  </si>
  <si>
    <t>ст-ть разовой влажной дезинсекции (по договору)</t>
  </si>
  <si>
    <t>итого разовая дезинсекция</t>
  </si>
  <si>
    <t>итого годовая обработка (2 раза)</t>
  </si>
  <si>
    <t>*Газовое оборудование (по договору)</t>
  </si>
  <si>
    <t>площадь домов с газовым оборудованием</t>
  </si>
  <si>
    <t>ст-ть обслуживания газ. оборудования (по договору)</t>
  </si>
  <si>
    <t>ФОРМУЛА РАСЧЕТА</t>
  </si>
  <si>
    <t>Единичные стоимости (расценки) работ и услуг по содержанию и ремонту общего имущества в многоквартирном доме определены по формуле:</t>
  </si>
  <si>
    <t>где:</t>
  </si>
  <si>
    <t>Нчi — норматив трудовых ресурсов (рабочего i-ой профессии), чел.-час;</t>
  </si>
  <si>
    <t>Сзпi — среднерыночная заработная плата рабочего i-ой профессии, руб./чел.-час;</t>
  </si>
  <si>
    <t>n — количество профессий рабочих, выполняющих работу;</t>
  </si>
  <si>
    <t>НР — коэффициент, учитывающий накладные расходы (заложены в размере 65%(максимальный норматив 95%) от расходов на оплату труда основных рабочих);</t>
  </si>
  <si>
    <t>Нмi — норматив j-го материала, ед. изм.;</t>
  </si>
  <si>
    <t>Смi — среднерыночная стоимость j-го материала, руб./ед.изм.;</t>
  </si>
  <si>
    <t>m — количество видов материалов, необходимых для выполнения работы;</t>
  </si>
  <si>
    <t>Нмшi — норматив потребности в i-ой машине и механизме, маш.-час;</t>
  </si>
  <si>
    <t>Смшi — среднерыночная эксплуатационная стоимость работы i-ой машины или механизма, руб./маш.-час;</t>
  </si>
  <si>
    <t>v — количество машин и механизмов, необходимых для выполнения работы;</t>
  </si>
  <si>
    <t>НП — коэффициент, учитывающий налоги и сборы (заложены в размере 0,5% от суммы всех расходов, прибыль в размере 0,5 % (максимальный норматив 10% )от суммы всех расходов);</t>
  </si>
  <si>
    <t>РУ — коэффициент, учитывающий расходы на управление (заложены в размере 10 % (максимальный норматив 20%) от расходов на оплату труда основных рабочих).</t>
  </si>
  <si>
    <t>ставка первого разряда - 80,86 руб., 50% премия, т.е. средняя расчетная зарплата заложена в размере 19 406 руб.</t>
  </si>
  <si>
    <t>Тариф принятый муниципальным советом, руб.на 1 кв.м. в мес.</t>
  </si>
  <si>
    <t>Приложение №  2</t>
  </si>
  <si>
    <t>Тариф за 1 кв.м./мес.</t>
  </si>
  <si>
    <t>Тариф на 1 кв.м./мес. экономически обоснованный</t>
  </si>
  <si>
    <t>1. Проведение технических осмотров и мелкий ремонт</t>
  </si>
  <si>
    <t>Осмотры кровли на предмет протечек и повреждений, при необходимости  мелкий ремонт   кровли (до 10 кв.м. в год на дом)</t>
  </si>
  <si>
    <t>2 раза в год</t>
  </si>
  <si>
    <t>Проверка состояния и обслуживание продухов в цоколе здания</t>
  </si>
  <si>
    <t>1 раза в год</t>
  </si>
  <si>
    <t>согласно графика, 1 раз в год</t>
  </si>
  <si>
    <t>1 раз в год</t>
  </si>
  <si>
    <t>Аварийно-диспетчерское обслуживание</t>
  </si>
  <si>
    <t>круглосуточно</t>
  </si>
  <si>
    <t>Полный смотр системы отопления</t>
  </si>
  <si>
    <t>Осмотр водопровода, канализации, проверка запорной арматуры</t>
  </si>
  <si>
    <t>1 раз в месяц</t>
  </si>
  <si>
    <t>2. Подготовка многоквартирного дома к сезонной эксплуатации</t>
  </si>
  <si>
    <t xml:space="preserve">Наладка и при необходимости регулировка системы центрального отопления , рабочее испытание отдельных частей и системы в целом, промывка, при необходимости ликвидация воздушных пробок </t>
  </si>
  <si>
    <t>двухкратно</t>
  </si>
  <si>
    <t xml:space="preserve">по мере необходимостино, не чаще 1 раза в год </t>
  </si>
  <si>
    <t>по мере необходимости, но не чаще 1 раза в год</t>
  </si>
  <si>
    <t>Проверка тяги дымо-вентиляционных каналов*</t>
  </si>
  <si>
    <t>по факту, не реже 3-х раз в год</t>
  </si>
  <si>
    <t>Обслуживание септика, при наличии**</t>
  </si>
  <si>
    <t>по мере необходимости</t>
  </si>
  <si>
    <t>24 раза за зимний сезон</t>
  </si>
  <si>
    <t>Уборка крыльца и площадки перед входом а подъезд (в холодный период года)</t>
  </si>
  <si>
    <t>6 раз за зимний сезон</t>
  </si>
  <si>
    <t>Уборка крыльца и площадки перед входом а подъезд (в теплый период года)</t>
  </si>
  <si>
    <t>72 раза за весенне-осенний сезон</t>
  </si>
  <si>
    <t>Подметание территории в дни без снегопада</t>
  </si>
  <si>
    <t>1 раз в 3 дня, в зимний период</t>
  </si>
  <si>
    <t>Подметание территории в дни с осадками до 2 мм и в дни без осадков</t>
  </si>
  <si>
    <t>1 раз в 3 дня</t>
  </si>
  <si>
    <t>4. Санитарное содержание помещений общего пользования</t>
  </si>
  <si>
    <t>Дератизация (от крыс)</t>
  </si>
  <si>
    <t>6 раз в год</t>
  </si>
  <si>
    <t>Дезинсекция (от блох)</t>
  </si>
  <si>
    <t>Итого тариф за 1 кв.м/мес</t>
  </si>
  <si>
    <t>** Обслуживание септика, при его наличии, предъявляется к оплате отдельно, по факту заключения договоров на обслуживание септика (в соответсвии со ст.36 п. 1  ЖК  РФ), и не входит в стоимость тарифа</t>
  </si>
  <si>
    <t>Нормативные материалы используемые при расчете:</t>
  </si>
  <si>
    <t>1.Нормативы трудовых и материальных ресурсов для выполнения работ и услуг по содержанию и обслуживанию имущества многоквартирных домов. Часть 1. Обязательные работы.</t>
  </si>
  <si>
    <t>2.Постановление правительства РФ № 290 от 03.04.2013 г. О минимальном перечне работ и услуг, необходимых для обеспечения надлежащего содержания общего имущества МКД.</t>
  </si>
  <si>
    <t>3. Уборка земельного участка входящего в состав общего имущества многоквартирного дома      ( в границах межевания)</t>
  </si>
  <si>
    <t>Визуальная проверка соответствия прокладки стальных газопроводов в жилом помещении нормативным требованиям,  по фасаду здания, в подъездах, состояния газопровода креплений и футляров.  Проверка загазованности футляров, герметичности соединений, работоспособности запорной арматуры.  Техобслуживание крана пробкового, крана шарового, задвижки на фасадном газопроводе. Проверка исправности  изолирующего фланцевого (муфтового) соединения на вводах газопровода с выдачей заключения, техобслуживание ПГ4</t>
  </si>
  <si>
    <t>Проведение технических осмотров, при необходимости  устранение незначительных неисправностей сетей электроснабжения мест общего пользования (ремонт выключателей, светильников с лампами накаливания (без замены светильника),замена лампы накаливания (без стоимости лампы)по мере необходимости)</t>
  </si>
  <si>
    <t>3 % банку за перечисление</t>
  </si>
  <si>
    <t>6 % налог на доходы</t>
  </si>
  <si>
    <t>6 % на содержание ркц (начисление )</t>
  </si>
  <si>
    <t>Итого в год</t>
  </si>
  <si>
    <t>Тариф за 1 кв.м./мес. принят муниципальным советом</t>
  </si>
  <si>
    <t>Тариф за 1 кв.м./мес.           с 01.10.2015г. увеличен на инфляцию 12,95%</t>
  </si>
  <si>
    <t xml:space="preserve">* проверка тяги  дымо-вентканалов и газоходов предъявляется к оплате отдельно, по факту проведения проверки, на основании Актов и не входит в тариф (по ПП РФ №410 от 14 мая 2013г., п.12) </t>
  </si>
  <si>
    <t>Тариф с индексацией (12,95%),              руб., на              1 кв.м. в мес.</t>
  </si>
  <si>
    <t>Размер платы экономически обоснованный на 2013г., руб. на 1 кв.м. в мес.</t>
  </si>
  <si>
    <r>
      <t xml:space="preserve">В среднем по видам работ, з/плата составляет </t>
    </r>
    <r>
      <rPr>
        <b/>
        <sz val="9"/>
        <color indexed="8"/>
        <rFont val="Arial"/>
        <family val="2"/>
      </rPr>
      <t>50%</t>
    </r>
    <r>
      <rPr>
        <sz val="9"/>
        <color indexed="8"/>
        <rFont val="Arial"/>
        <family val="0"/>
      </rPr>
      <t xml:space="preserve"> в тарифе </t>
    </r>
  </si>
  <si>
    <r>
      <t>В % соотношении з/плата с 14 000 руб до 18 000 руб, это увеличение на</t>
    </r>
    <r>
      <rPr>
        <b/>
        <sz val="9"/>
        <color indexed="8"/>
        <rFont val="Arial"/>
        <family val="2"/>
      </rPr>
      <t xml:space="preserve"> 29%</t>
    </r>
  </si>
  <si>
    <t>Тариф с индексацией (12,95%),              руб. и средней з/пл 18 000 руб., на 1 кв.м. в мес.</t>
  </si>
  <si>
    <t>При тарифе 11,69:</t>
  </si>
  <si>
    <r>
      <t>11,69 - 50% = 5,85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руб.</t>
    </r>
    <r>
      <rPr>
        <sz val="9"/>
        <color indexed="8"/>
        <rFont val="Arial"/>
        <family val="0"/>
      </rPr>
      <t xml:space="preserve"> (составляет з/плата в тарифе)</t>
    </r>
  </si>
  <si>
    <r>
      <t xml:space="preserve">5,85 х 29 % = </t>
    </r>
    <r>
      <rPr>
        <b/>
        <sz val="9"/>
        <color indexed="8"/>
        <rFont val="Arial"/>
        <family val="2"/>
      </rPr>
      <t>7,55 руб.</t>
    </r>
    <r>
      <rPr>
        <sz val="9"/>
        <color indexed="8"/>
        <rFont val="Arial"/>
        <family val="0"/>
      </rPr>
      <t>(составляет з /плата в тарифе при средней 18 000 руб)</t>
    </r>
  </si>
  <si>
    <r>
      <t xml:space="preserve">11,69 - 5,85 = </t>
    </r>
    <r>
      <rPr>
        <sz val="9"/>
        <color indexed="8"/>
        <rFont val="Arial"/>
        <family val="2"/>
      </rPr>
      <t>5,84руб.</t>
    </r>
    <r>
      <rPr>
        <sz val="9"/>
        <color indexed="8"/>
        <rFont val="Arial"/>
        <family val="0"/>
      </rPr>
      <t xml:space="preserve"> (тариф без з/платы)</t>
    </r>
  </si>
  <si>
    <r>
      <t xml:space="preserve">5,84 х 12,95 % (инфляция) = </t>
    </r>
    <r>
      <rPr>
        <b/>
        <sz val="9"/>
        <color indexed="8"/>
        <rFont val="Arial"/>
        <family val="2"/>
      </rPr>
      <t xml:space="preserve">6,60 руб. </t>
    </r>
    <r>
      <rPr>
        <sz val="9"/>
        <color indexed="8"/>
        <rFont val="Arial"/>
        <family val="2"/>
      </rPr>
      <t>(тариф без з/платы с инфляцией)</t>
    </r>
  </si>
  <si>
    <r>
      <t>7,55+ 6,60 =</t>
    </r>
    <r>
      <rPr>
        <b/>
        <sz val="9"/>
        <color indexed="8"/>
        <rFont val="Arial"/>
        <family val="2"/>
      </rPr>
      <t xml:space="preserve"> 14,15</t>
    </r>
    <r>
      <rPr>
        <sz val="9"/>
        <color indexed="8"/>
        <rFont val="Arial"/>
        <family val="0"/>
      </rPr>
      <t>руб. -тариф с инфляцией и средней зарплатой в 18 000 руб.</t>
    </r>
  </si>
  <si>
    <t>Экономическое обоснование увеличения размера платы граждан за содержание и ремонт жилого помещения</t>
  </si>
  <si>
    <t>Тариф с индексацией (12,95%),  руб. и средней з/пл             18 000 руб***., на           1 кв.м. в мес.</t>
  </si>
  <si>
    <t>***ПП Белгородской области № 110-пп "О мерах по повышению уровня зарплаты в 2015г." от 23.03.2015г.</t>
  </si>
  <si>
    <t xml:space="preserve">Перечень и периодичность выполнения обязательных работ и услуг по содержанию и обслуживанию общего имущества многоквартирных  домов все виды благоустройств, кроме лифтов и мусоропроводов                                                                          на  период  с 01.10.2015 г.  по 30.09.2016 г.                                                                                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</si>
</sst>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4">
    <font>
      <sz val="9"/>
      <color indexed="8"/>
      <name val="Arial"/>
      <family val="0"/>
    </font>
    <font>
      <b/>
      <sz val="18"/>
      <color indexed="10"/>
      <name val="Courier"/>
      <family val="0"/>
    </font>
    <font>
      <b/>
      <sz val="10"/>
      <color indexed="9"/>
      <name val="Courier"/>
      <family val="0"/>
    </font>
    <font>
      <b/>
      <sz val="14"/>
      <color indexed="10"/>
      <name val="Courier"/>
      <family val="0"/>
    </font>
    <font>
      <sz val="10"/>
      <name val="Arial Cyr"/>
      <family val="0"/>
    </font>
    <font>
      <b/>
      <sz val="18"/>
      <color indexed="16"/>
      <name val="Courier"/>
      <family val="0"/>
    </font>
    <font>
      <b/>
      <sz val="14"/>
      <color indexed="16"/>
      <name val="Courier"/>
      <family val="0"/>
    </font>
    <font>
      <b/>
      <sz val="12"/>
      <color indexed="16"/>
      <name val="Courier"/>
      <family val="0"/>
    </font>
    <font>
      <sz val="12"/>
      <color indexed="16"/>
      <name val="Courier"/>
      <family val="1"/>
    </font>
    <font>
      <sz val="10"/>
      <color indexed="8"/>
      <name val="Arial"/>
      <family val="0"/>
    </font>
    <font>
      <sz val="9"/>
      <color indexed="16"/>
      <name val="Arial"/>
      <family val="0"/>
    </font>
    <font>
      <b/>
      <sz val="9"/>
      <color indexed="16"/>
      <name val="Arial"/>
      <family val="0"/>
    </font>
    <font>
      <b/>
      <sz val="11"/>
      <color indexed="16"/>
      <name val="Arial"/>
      <family val="0"/>
    </font>
    <font>
      <b/>
      <sz val="11"/>
      <color indexed="16"/>
      <name val="Courier"/>
      <family val="0"/>
    </font>
    <font>
      <sz val="10"/>
      <name val="Arial"/>
      <family val="0"/>
    </font>
    <font>
      <sz val="10"/>
      <color indexed="16"/>
      <name val="Arial"/>
      <family val="0"/>
    </font>
    <font>
      <b/>
      <sz val="10"/>
      <color indexed="16"/>
      <name val="Arial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u val="single"/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16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4" fillId="0" borderId="0">
      <alignment/>
      <protection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4" fillId="0" borderId="0">
      <alignment/>
      <protection/>
    </xf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173">
    <xf numFmtId="0" fontId="0" fillId="0" borderId="0" xfId="0" applyFill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2" fillId="2" borderId="1" xfId="0" applyFont="1" applyFill="1" applyBorder="1" applyAlignment="1" applyProtection="1">
      <alignment horizontal="center" vertical="center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/>
      <protection/>
    </xf>
    <xf numFmtId="0" fontId="2" fillId="2" borderId="2" xfId="0" applyFont="1" applyFill="1" applyBorder="1" applyAlignment="1" applyProtection="1">
      <alignment horizontal="center" vertical="center"/>
      <protection/>
    </xf>
    <xf numFmtId="4" fontId="2" fillId="2" borderId="2" xfId="0" applyNumberFormat="1" applyFont="1" applyFill="1" applyBorder="1" applyAlignment="1" applyProtection="1">
      <alignment horizontal="center" vertical="center" wrapText="1"/>
      <protection/>
    </xf>
    <xf numFmtId="2" fontId="2" fillId="2" borderId="3" xfId="0" applyNumberFormat="1" applyFont="1" applyFill="1" applyBorder="1" applyAlignment="1" applyProtection="1">
      <alignment horizontal="center" vertical="center" wrapText="1"/>
      <protection/>
    </xf>
    <xf numFmtId="0" fontId="0" fillId="2" borderId="0" xfId="0" applyFill="1" applyAlignment="1" applyProtection="1">
      <alignment/>
      <protection/>
    </xf>
    <xf numFmtId="0" fontId="0" fillId="0" borderId="2" xfId="0" applyFill="1" applyBorder="1" applyAlignment="1" applyProtection="1">
      <alignment horizontal="center" vertical="center"/>
      <protection/>
    </xf>
    <xf numFmtId="0" fontId="9" fillId="0" borderId="4" xfId="0" applyFont="1" applyFill="1" applyBorder="1" applyAlignment="1" applyProtection="1">
      <alignment/>
      <protection/>
    </xf>
    <xf numFmtId="0" fontId="9" fillId="0" borderId="2" xfId="0" applyFont="1" applyFill="1" applyBorder="1" applyAlignment="1" applyProtection="1">
      <alignment horizontal="center" vertical="center"/>
      <protection/>
    </xf>
    <xf numFmtId="0" fontId="9" fillId="0" borderId="2" xfId="0" applyFont="1" applyFill="1" applyBorder="1" applyAlignment="1" applyProtection="1">
      <alignment horizontal="left" vertical="center" wrapText="1"/>
      <protection/>
    </xf>
    <xf numFmtId="4" fontId="9" fillId="0" borderId="2" xfId="0" applyNumberFormat="1" applyFont="1" applyFill="1" applyBorder="1" applyAlignment="1" applyProtection="1">
      <alignment horizontal="center" vertical="center"/>
      <protection/>
    </xf>
    <xf numFmtId="2" fontId="9" fillId="0" borderId="2" xfId="0" applyNumberFormat="1" applyFont="1" applyFill="1" applyBorder="1" applyAlignment="1" applyProtection="1">
      <alignment horizontal="center" vertical="center"/>
      <protection/>
    </xf>
    <xf numFmtId="0" fontId="9" fillId="0" borderId="5" xfId="0" applyFont="1" applyFill="1" applyBorder="1" applyAlignment="1" applyProtection="1">
      <alignment/>
      <protection/>
    </xf>
    <xf numFmtId="0" fontId="9" fillId="0" borderId="2" xfId="0" applyFont="1" applyFill="1" applyBorder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0" fontId="0" fillId="0" borderId="5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4" fontId="9" fillId="0" borderId="2" xfId="0" applyNumberFormat="1" applyFont="1" applyFill="1" applyBorder="1" applyAlignment="1" applyProtection="1">
      <alignment horizontal="center" vertical="center" wrapText="1"/>
      <protection/>
    </xf>
    <xf numFmtId="0" fontId="9" fillId="0" borderId="2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/>
      <protection/>
    </xf>
    <xf numFmtId="4" fontId="11" fillId="0" borderId="2" xfId="0" applyNumberFormat="1" applyFont="1" applyFill="1" applyBorder="1" applyAlignment="1" applyProtection="1">
      <alignment horizontal="center" vertical="center"/>
      <protection/>
    </xf>
    <xf numFmtId="2" fontId="11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left"/>
      <protection/>
    </xf>
    <xf numFmtId="4" fontId="0" fillId="0" borderId="0" xfId="0" applyNumberFormat="1" applyFill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4" fontId="0" fillId="0" borderId="0" xfId="0" applyNumberFormat="1" applyFill="1" applyAlignment="1" applyProtection="1">
      <alignment/>
      <protection/>
    </xf>
    <xf numFmtId="0" fontId="10" fillId="0" borderId="0" xfId="0" applyFont="1" applyFill="1" applyAlignment="1" applyProtection="1">
      <alignment horizontal="left"/>
      <protection/>
    </xf>
    <xf numFmtId="4" fontId="12" fillId="0" borderId="0" xfId="0" applyNumberFormat="1" applyFont="1" applyFill="1" applyAlignment="1" applyProtection="1">
      <alignment horizontal="right"/>
      <protection/>
    </xf>
    <xf numFmtId="4" fontId="13" fillId="0" borderId="0" xfId="0" applyNumberFormat="1" applyFont="1" applyFill="1" applyAlignment="1" applyProtection="1">
      <alignment horizontal="right"/>
      <protection/>
    </xf>
    <xf numFmtId="4" fontId="13" fillId="0" borderId="0" xfId="0" applyNumberFormat="1" applyFont="1" applyFill="1" applyAlignment="1" applyProtection="1">
      <alignment horizontal="right"/>
      <protection/>
    </xf>
    <xf numFmtId="4" fontId="12" fillId="0" borderId="0" xfId="0" applyNumberFormat="1" applyFont="1" applyFill="1" applyAlignment="1" applyProtection="1">
      <alignment horizontal="right"/>
      <protection/>
    </xf>
    <xf numFmtId="0" fontId="13" fillId="0" borderId="0" xfId="0" applyFont="1" applyFill="1" applyAlignment="1" applyProtection="1">
      <alignment/>
      <protection/>
    </xf>
    <xf numFmtId="0" fontId="9" fillId="0" borderId="0" xfId="19" applyFont="1" applyFill="1" applyProtection="1">
      <alignment/>
      <protection/>
    </xf>
    <xf numFmtId="0" fontId="14" fillId="0" borderId="0" xfId="19" applyFont="1" applyFill="1" applyAlignment="1" applyProtection="1">
      <alignment horizontal="left"/>
      <protection/>
    </xf>
    <xf numFmtId="0" fontId="15" fillId="0" borderId="0" xfId="19" applyFont="1" applyFill="1" applyProtection="1">
      <alignment/>
      <protection/>
    </xf>
    <xf numFmtId="0" fontId="15" fillId="0" borderId="0" xfId="19" applyFont="1" applyFill="1" applyProtection="1">
      <alignment/>
      <protection/>
    </xf>
    <xf numFmtId="4" fontId="16" fillId="0" borderId="0" xfId="19" applyNumberFormat="1" applyFont="1" applyFill="1" applyAlignment="1" applyProtection="1">
      <alignment horizontal="right"/>
      <protection/>
    </xf>
    <xf numFmtId="0" fontId="9" fillId="0" borderId="0" xfId="0" applyFont="1" applyFill="1" applyAlignment="1" applyProtection="1">
      <alignment/>
      <protection/>
    </xf>
    <xf numFmtId="4" fontId="9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15" fillId="0" borderId="0" xfId="19" applyFont="1" applyFill="1" applyAlignment="1" applyProtection="1">
      <alignment horizontal="left"/>
      <protection/>
    </xf>
    <xf numFmtId="0" fontId="9" fillId="0" borderId="0" xfId="19" applyFont="1" applyFill="1" applyAlignment="1" applyProtection="1">
      <alignment horizontal="left"/>
      <protection/>
    </xf>
    <xf numFmtId="0" fontId="9" fillId="0" borderId="0" xfId="19" applyFont="1" applyFill="1" applyProtection="1">
      <alignment/>
      <protection/>
    </xf>
    <xf numFmtId="0" fontId="9" fillId="0" borderId="0" xfId="19" applyFont="1" applyFill="1" applyAlignment="1" applyProtection="1">
      <alignment horizontal="right"/>
      <protection/>
    </xf>
    <xf numFmtId="0" fontId="17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 horizontal="left"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9" fillId="0" borderId="0" xfId="0" applyNumberFormat="1" applyFont="1" applyAlignment="1">
      <alignment/>
    </xf>
    <xf numFmtId="4" fontId="17" fillId="0" borderId="0" xfId="0" applyNumberFormat="1" applyFont="1" applyAlignment="1">
      <alignment/>
    </xf>
    <xf numFmtId="0" fontId="18" fillId="0" borderId="0" xfId="19" applyFont="1" applyFill="1" applyAlignment="1" applyProtection="1">
      <alignment horizontal="left"/>
      <protection/>
    </xf>
    <xf numFmtId="0" fontId="9" fillId="0" borderId="0" xfId="19" applyFont="1" applyFill="1" applyProtection="1">
      <alignment/>
      <protection/>
    </xf>
    <xf numFmtId="0" fontId="9" fillId="0" borderId="0" xfId="19" applyFont="1" applyFill="1" applyProtection="1">
      <alignment/>
      <protection/>
    </xf>
    <xf numFmtId="0" fontId="9" fillId="0" borderId="0" xfId="19" applyFont="1" applyFill="1" applyAlignment="1" applyProtection="1">
      <alignment horizontal="left"/>
      <protection/>
    </xf>
    <xf numFmtId="4" fontId="9" fillId="0" borderId="0" xfId="19" applyNumberFormat="1" applyFont="1" applyFill="1" applyProtection="1">
      <alignment/>
      <protection/>
    </xf>
    <xf numFmtId="4" fontId="18" fillId="0" borderId="0" xfId="19" applyNumberFormat="1" applyFont="1" applyFill="1" applyProtection="1">
      <alignment/>
      <protection/>
    </xf>
    <xf numFmtId="0" fontId="9" fillId="0" borderId="0" xfId="0" applyFont="1" applyFill="1" applyAlignment="1" applyProtection="1">
      <alignment horizontal="left"/>
      <protection/>
    </xf>
    <xf numFmtId="0" fontId="18" fillId="0" borderId="0" xfId="0" applyFont="1" applyFill="1" applyAlignment="1" applyProtection="1">
      <alignment/>
      <protection/>
    </xf>
    <xf numFmtId="0" fontId="17" fillId="0" borderId="0" xfId="20" applyFont="1">
      <alignment/>
      <protection/>
    </xf>
    <xf numFmtId="0" fontId="4" fillId="0" borderId="0" xfId="20">
      <alignment/>
      <protection/>
    </xf>
    <xf numFmtId="0" fontId="4" fillId="0" borderId="0" xfId="20" applyAlignment="1">
      <alignment horizontal="center"/>
      <protection/>
    </xf>
    <xf numFmtId="0" fontId="4" fillId="0" borderId="0" xfId="20" applyAlignment="1">
      <alignment horizontal="right"/>
      <protection/>
    </xf>
    <xf numFmtId="0" fontId="4" fillId="0" borderId="0" xfId="20" applyFont="1" applyAlignment="1">
      <alignment horizontal="right"/>
      <protection/>
    </xf>
    <xf numFmtId="0" fontId="4" fillId="0" borderId="0" xfId="20" applyAlignment="1">
      <alignment/>
      <protection/>
    </xf>
    <xf numFmtId="0" fontId="17" fillId="0" borderId="2" xfId="20" applyFont="1" applyFill="1" applyBorder="1" applyAlignment="1">
      <alignment vertical="center"/>
      <protection/>
    </xf>
    <xf numFmtId="0" fontId="17" fillId="0" borderId="4" xfId="20" applyFont="1" applyFill="1" applyBorder="1" applyAlignment="1">
      <alignment vertical="center"/>
      <protection/>
    </xf>
    <xf numFmtId="4" fontId="17" fillId="0" borderId="2" xfId="20" applyNumberFormat="1" applyFont="1" applyBorder="1" applyAlignment="1">
      <alignment horizontal="center" vertical="center"/>
      <protection/>
    </xf>
    <xf numFmtId="0" fontId="14" fillId="0" borderId="2" xfId="20" applyFont="1" applyFill="1" applyBorder="1" applyAlignment="1">
      <alignment horizontal="center" vertical="center" wrapText="1"/>
      <protection/>
    </xf>
    <xf numFmtId="0" fontId="4" fillId="0" borderId="2" xfId="20" applyFill="1" applyBorder="1" applyAlignment="1">
      <alignment vertical="center"/>
      <protection/>
    </xf>
    <xf numFmtId="0" fontId="4" fillId="0" borderId="4" xfId="20" applyFill="1" applyBorder="1" applyAlignment="1">
      <alignment vertical="center"/>
      <protection/>
    </xf>
    <xf numFmtId="4" fontId="4" fillId="0" borderId="2" xfId="20" applyNumberFormat="1" applyFill="1" applyBorder="1" applyAlignment="1">
      <alignment horizontal="center" vertical="center"/>
      <protection/>
    </xf>
    <xf numFmtId="0" fontId="4" fillId="0" borderId="0" xfId="20" applyFill="1">
      <alignment/>
      <protection/>
    </xf>
    <xf numFmtId="0" fontId="4" fillId="0" borderId="2" xfId="20" applyFill="1" applyBorder="1" applyAlignment="1">
      <alignment horizontal="center" vertical="center"/>
      <protection/>
    </xf>
    <xf numFmtId="0" fontId="14" fillId="0" borderId="2" xfId="0" applyFont="1" applyFill="1" applyBorder="1" applyAlignment="1">
      <alignment horizontal="center" vertical="center" wrapText="1"/>
    </xf>
    <xf numFmtId="0" fontId="4" fillId="0" borderId="2" xfId="20" applyFont="1" applyFill="1" applyBorder="1" applyAlignment="1">
      <alignment horizontal="right" vertical="center"/>
      <protection/>
    </xf>
    <xf numFmtId="0" fontId="14" fillId="0" borderId="2" xfId="17" applyFill="1" applyBorder="1" applyAlignment="1">
      <alignment horizontal="center" vertical="center" wrapText="1"/>
      <protection/>
    </xf>
    <xf numFmtId="0" fontId="14" fillId="0" borderId="2" xfId="17" applyFont="1" applyFill="1" applyBorder="1" applyAlignment="1">
      <alignment horizontal="center" vertical="center" wrapText="1"/>
      <protection/>
    </xf>
    <xf numFmtId="4" fontId="17" fillId="0" borderId="2" xfId="20" applyNumberFormat="1" applyFont="1" applyFill="1" applyBorder="1" applyAlignment="1">
      <alignment horizontal="center" vertical="center"/>
      <protection/>
    </xf>
    <xf numFmtId="0" fontId="14" fillId="0" borderId="5" xfId="0" applyFont="1" applyFill="1" applyBorder="1" applyAlignment="1">
      <alignment horizontal="center" vertical="center" wrapText="1"/>
    </xf>
    <xf numFmtId="0" fontId="21" fillId="0" borderId="2" xfId="20" applyFont="1" applyFill="1" applyBorder="1" applyAlignment="1">
      <alignment vertical="center" wrapText="1"/>
      <protection/>
    </xf>
    <xf numFmtId="0" fontId="21" fillId="0" borderId="4" xfId="20" applyFont="1" applyFill="1" applyBorder="1" applyAlignment="1">
      <alignment vertical="center" wrapText="1"/>
      <protection/>
    </xf>
    <xf numFmtId="0" fontId="14" fillId="0" borderId="5" xfId="20" applyFont="1" applyFill="1" applyBorder="1" applyAlignment="1">
      <alignment horizontal="center" vertical="center" wrapText="1"/>
      <protection/>
    </xf>
    <xf numFmtId="2" fontId="17" fillId="0" borderId="2" xfId="20" applyNumberFormat="1" applyFont="1" applyFill="1" applyBorder="1" applyAlignment="1">
      <alignment horizontal="center" vertical="center"/>
      <protection/>
    </xf>
    <xf numFmtId="0" fontId="17" fillId="0" borderId="0" xfId="20" applyFont="1" applyFill="1" applyBorder="1" applyAlignment="1">
      <alignment vertical="center"/>
      <protection/>
    </xf>
    <xf numFmtId="0" fontId="4" fillId="0" borderId="0" xfId="20" applyFill="1" applyAlignment="1">
      <alignment vertical="center"/>
      <protection/>
    </xf>
    <xf numFmtId="0" fontId="14" fillId="0" borderId="0" xfId="20" applyFont="1" applyFill="1" applyBorder="1" applyAlignment="1">
      <alignment horizontal="right" wrapText="1"/>
      <protection/>
    </xf>
    <xf numFmtId="0" fontId="4" fillId="0" borderId="0" xfId="20" applyFill="1" applyBorder="1">
      <alignment/>
      <protection/>
    </xf>
    <xf numFmtId="0" fontId="4" fillId="0" borderId="0" xfId="20" applyFill="1" applyAlignment="1">
      <alignment horizontal="center"/>
      <protection/>
    </xf>
    <xf numFmtId="0" fontId="14" fillId="0" borderId="0" xfId="20" applyFont="1" applyFill="1" applyBorder="1" applyAlignment="1">
      <alignment horizontal="left" wrapText="1"/>
      <protection/>
    </xf>
    <xf numFmtId="0" fontId="14" fillId="0" borderId="0" xfId="20" applyFont="1" applyFill="1" applyBorder="1" applyAlignment="1">
      <alignment horizontal="center" wrapText="1"/>
      <protection/>
    </xf>
    <xf numFmtId="0" fontId="17" fillId="0" borderId="2" xfId="20" applyFont="1" applyFill="1" applyBorder="1" applyAlignment="1">
      <alignment horizontal="center" vertical="center"/>
      <protection/>
    </xf>
    <xf numFmtId="0" fontId="17" fillId="0" borderId="2" xfId="20" applyFont="1" applyFill="1" applyBorder="1" applyAlignment="1">
      <alignment horizontal="center"/>
      <protection/>
    </xf>
    <xf numFmtId="0" fontId="17" fillId="0" borderId="2" xfId="20" applyFont="1" applyBorder="1" applyAlignment="1">
      <alignment horizontal="center"/>
      <protection/>
    </xf>
    <xf numFmtId="3" fontId="9" fillId="0" borderId="2" xfId="0" applyNumberFormat="1" applyFont="1" applyFill="1" applyBorder="1" applyAlignment="1" applyProtection="1">
      <alignment horizontal="center" vertical="center" wrapText="1"/>
      <protection/>
    </xf>
    <xf numFmtId="0" fontId="9" fillId="0" borderId="0" xfId="19" applyFont="1" applyFill="1" applyAlignment="1" applyProtection="1">
      <alignment horizontal="right"/>
      <protection/>
    </xf>
    <xf numFmtId="4" fontId="4" fillId="0" borderId="0" xfId="20" applyNumberFormat="1">
      <alignment/>
      <protection/>
    </xf>
    <xf numFmtId="4" fontId="4" fillId="0" borderId="0" xfId="20" applyNumberFormat="1" applyFont="1" applyAlignment="1">
      <alignment horizontal="right"/>
      <protection/>
    </xf>
    <xf numFmtId="4" fontId="17" fillId="0" borderId="2" xfId="20" applyNumberFormat="1" applyFont="1" applyBorder="1" applyAlignment="1">
      <alignment horizontal="center"/>
      <protection/>
    </xf>
    <xf numFmtId="4" fontId="17" fillId="0" borderId="2" xfId="20" applyNumberFormat="1" applyFont="1" applyFill="1" applyBorder="1" applyAlignment="1">
      <alignment horizontal="center"/>
      <protection/>
    </xf>
    <xf numFmtId="4" fontId="4" fillId="0" borderId="0" xfId="20" applyNumberFormat="1" applyFill="1">
      <alignment/>
      <protection/>
    </xf>
    <xf numFmtId="1" fontId="9" fillId="0" borderId="2" xfId="0" applyNumberFormat="1" applyFont="1" applyFill="1" applyBorder="1" applyAlignment="1" applyProtection="1">
      <alignment horizontal="center" vertical="center" wrapText="1"/>
      <protection/>
    </xf>
    <xf numFmtId="4" fontId="9" fillId="0" borderId="5" xfId="0" applyNumberFormat="1" applyFont="1" applyFill="1" applyBorder="1" applyAlignment="1" applyProtection="1">
      <alignment horizontal="center" vertical="center" wrapText="1"/>
      <protection/>
    </xf>
    <xf numFmtId="2" fontId="0" fillId="0" borderId="0" xfId="0" applyNumberForma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18" applyFill="1" applyProtection="1">
      <alignment/>
      <protection/>
    </xf>
    <xf numFmtId="0" fontId="0" fillId="0" borderId="0" xfId="18" applyFont="1" applyFill="1" applyAlignment="1" applyProtection="1">
      <alignment horizontal="left"/>
      <protection/>
    </xf>
    <xf numFmtId="4" fontId="0" fillId="0" borderId="0" xfId="18" applyNumberFormat="1" applyFill="1" applyProtection="1">
      <alignment/>
      <protection/>
    </xf>
    <xf numFmtId="0" fontId="0" fillId="0" borderId="0" xfId="18" applyFill="1" applyProtection="1">
      <alignment/>
      <protection/>
    </xf>
    <xf numFmtId="4" fontId="0" fillId="0" borderId="0" xfId="18" applyNumberFormat="1" applyFill="1" applyAlignment="1" applyProtection="1">
      <alignment horizontal="center"/>
      <protection/>
    </xf>
    <xf numFmtId="0" fontId="0" fillId="0" borderId="0" xfId="18" applyFill="1" applyAlignment="1" applyProtection="1">
      <alignment horizontal="left"/>
      <protection/>
    </xf>
    <xf numFmtId="0" fontId="23" fillId="0" borderId="0" xfId="18" applyFont="1" applyFill="1" applyAlignment="1" applyProtection="1">
      <alignment horizontal="left"/>
      <protection/>
    </xf>
    <xf numFmtId="0" fontId="0" fillId="0" borderId="0" xfId="0" applyAlignment="1">
      <alignment/>
    </xf>
    <xf numFmtId="4" fontId="2" fillId="3" borderId="2" xfId="18" applyNumberFormat="1" applyFont="1" applyFill="1" applyBorder="1" applyAlignment="1" applyProtection="1">
      <alignment horizontal="center" vertical="center" wrapText="1"/>
      <protection/>
    </xf>
    <xf numFmtId="0" fontId="0" fillId="0" borderId="2" xfId="0" applyFill="1" applyBorder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4" fontId="14" fillId="0" borderId="2" xfId="0" applyNumberFormat="1" applyFont="1" applyFill="1" applyBorder="1" applyAlignment="1" applyProtection="1">
      <alignment horizontal="center"/>
      <protection/>
    </xf>
    <xf numFmtId="0" fontId="4" fillId="0" borderId="2" xfId="20" applyBorder="1">
      <alignment/>
      <protection/>
    </xf>
    <xf numFmtId="0" fontId="14" fillId="0" borderId="5" xfId="20" applyFont="1" applyFill="1" applyBorder="1" applyAlignment="1">
      <alignment horizontal="left" vertical="center" wrapText="1"/>
      <protection/>
    </xf>
    <xf numFmtId="0" fontId="4" fillId="0" borderId="0" xfId="20" applyFont="1" applyAlignment="1">
      <alignment horizontal="left"/>
      <protection/>
    </xf>
    <xf numFmtId="0" fontId="21" fillId="0" borderId="4" xfId="20" applyFont="1" applyFill="1" applyBorder="1" applyAlignment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9" fillId="0" borderId="4" xfId="0" applyFont="1" applyFill="1" applyBorder="1" applyAlignment="1" applyProtection="1">
      <alignment horizontal="center" vertical="center" wrapText="1"/>
      <protection/>
    </xf>
    <xf numFmtId="0" fontId="9" fillId="0" borderId="6" xfId="0" applyFont="1" applyFill="1" applyBorder="1" applyAlignment="1" applyProtection="1">
      <alignment horizontal="center" vertical="center" wrapText="1"/>
      <protection/>
    </xf>
    <xf numFmtId="0" fontId="9" fillId="0" borderId="2" xfId="0" applyFont="1" applyFill="1" applyBorder="1" applyAlignment="1" applyProtection="1">
      <alignment horizontal="center" vertical="center" wrapText="1"/>
      <protection/>
    </xf>
    <xf numFmtId="0" fontId="8" fillId="0" borderId="4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horizontal="center" vertical="center"/>
      <protection/>
    </xf>
    <xf numFmtId="0" fontId="8" fillId="0" borderId="5" xfId="0" applyFont="1" applyFill="1" applyBorder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center" vertical="center"/>
      <protection/>
    </xf>
    <xf numFmtId="0" fontId="7" fillId="0" borderId="5" xfId="0" applyFont="1" applyFill="1" applyBorder="1" applyAlignment="1" applyProtection="1">
      <alignment horizontal="center" vertical="center"/>
      <protection/>
    </xf>
    <xf numFmtId="4" fontId="13" fillId="0" borderId="0" xfId="0" applyNumberFormat="1" applyFont="1" applyFill="1" applyAlignment="1" applyProtection="1">
      <alignment horizontal="right"/>
      <protection/>
    </xf>
    <xf numFmtId="0" fontId="5" fillId="0" borderId="0" xfId="19" applyFont="1" applyFill="1" applyProtection="1">
      <alignment/>
      <protection/>
    </xf>
    <xf numFmtId="0" fontId="11" fillId="0" borderId="2" xfId="0" applyFont="1" applyFill="1" applyBorder="1" applyAlignment="1" applyProtection="1">
      <alignment horizontal="center" vertical="center"/>
      <protection/>
    </xf>
    <xf numFmtId="0" fontId="6" fillId="0" borderId="2" xfId="0" applyFont="1" applyFill="1" applyBorder="1" applyAlignment="1" applyProtection="1">
      <alignment horizontal="center" vertical="center"/>
      <protection/>
    </xf>
    <xf numFmtId="0" fontId="8" fillId="0" borderId="2" xfId="0" applyFont="1" applyFill="1" applyBorder="1" applyAlignment="1" applyProtection="1">
      <alignment horizontal="center" vertical="center"/>
      <protection/>
    </xf>
    <xf numFmtId="0" fontId="7" fillId="0" borderId="2" xfId="0" applyFont="1" applyFill="1" applyBorder="1" applyAlignment="1" applyProtection="1">
      <alignment horizontal="center" vertical="center"/>
      <protection/>
    </xf>
    <xf numFmtId="0" fontId="14" fillId="0" borderId="0" xfId="20" applyFont="1" applyFill="1" applyBorder="1" applyAlignment="1">
      <alignment horizontal="left" wrapText="1"/>
      <protection/>
    </xf>
    <xf numFmtId="4" fontId="17" fillId="0" borderId="3" xfId="20" applyNumberFormat="1" applyFont="1" applyFill="1" applyBorder="1" applyAlignment="1">
      <alignment horizontal="center" vertical="center" wrapText="1"/>
      <protection/>
    </xf>
    <xf numFmtId="4" fontId="17" fillId="0" borderId="7" xfId="20" applyNumberFormat="1" applyFont="1" applyFill="1" applyBorder="1" applyAlignment="1">
      <alignment horizontal="center" vertical="center" wrapText="1"/>
      <protection/>
    </xf>
    <xf numFmtId="0" fontId="17" fillId="0" borderId="3" xfId="20" applyFont="1" applyFill="1" applyBorder="1" applyAlignment="1">
      <alignment horizontal="center" vertical="center" wrapText="1"/>
      <protection/>
    </xf>
    <xf numFmtId="0" fontId="17" fillId="0" borderId="7" xfId="20" applyFont="1" applyFill="1" applyBorder="1" applyAlignment="1">
      <alignment horizontal="center" vertical="center" wrapText="1"/>
      <protection/>
    </xf>
    <xf numFmtId="0" fontId="14" fillId="0" borderId="2" xfId="20" applyFont="1" applyFill="1" applyBorder="1" applyAlignment="1">
      <alignment horizontal="left" vertical="center" wrapText="1"/>
      <protection/>
    </xf>
    <xf numFmtId="0" fontId="21" fillId="0" borderId="0" xfId="20" applyFont="1" applyFill="1" applyBorder="1" applyAlignment="1">
      <alignment horizontal="left" wrapText="1"/>
      <protection/>
    </xf>
    <xf numFmtId="0" fontId="21" fillId="0" borderId="4" xfId="20" applyFont="1" applyFill="1" applyBorder="1" applyAlignment="1">
      <alignment horizontal="right" vertical="center" wrapText="1"/>
      <protection/>
    </xf>
    <xf numFmtId="0" fontId="21" fillId="0" borderId="6" xfId="20" applyFont="1" applyFill="1" applyBorder="1" applyAlignment="1">
      <alignment horizontal="right" vertical="center" wrapText="1"/>
      <protection/>
    </xf>
    <xf numFmtId="0" fontId="21" fillId="0" borderId="5" xfId="20" applyFont="1" applyFill="1" applyBorder="1" applyAlignment="1">
      <alignment horizontal="right" vertical="center" wrapText="1"/>
      <protection/>
    </xf>
    <xf numFmtId="0" fontId="4" fillId="0" borderId="0" xfId="20" applyAlignment="1">
      <alignment horizontal="right"/>
      <protection/>
    </xf>
    <xf numFmtId="0" fontId="14" fillId="0" borderId="4" xfId="20" applyFont="1" applyFill="1" applyBorder="1" applyAlignment="1">
      <alignment horizontal="left" vertical="center" wrapText="1"/>
      <protection/>
    </xf>
    <xf numFmtId="0" fontId="21" fillId="0" borderId="6" xfId="20" applyFont="1" applyFill="1" applyBorder="1" applyAlignment="1">
      <alignment horizontal="center" vertical="center"/>
      <protection/>
    </xf>
    <xf numFmtId="0" fontId="21" fillId="0" borderId="5" xfId="20" applyFont="1" applyFill="1" applyBorder="1" applyAlignment="1">
      <alignment horizontal="center" vertical="center"/>
      <protection/>
    </xf>
    <xf numFmtId="0" fontId="20" fillId="0" borderId="8" xfId="20" applyFont="1" applyFill="1" applyBorder="1" applyAlignment="1">
      <alignment horizontal="center" vertical="center" wrapText="1"/>
      <protection/>
    </xf>
    <xf numFmtId="0" fontId="20" fillId="0" borderId="9" xfId="20" applyFont="1" applyFill="1" applyBorder="1" applyAlignment="1">
      <alignment horizontal="center" vertical="center" wrapText="1"/>
      <protection/>
    </xf>
    <xf numFmtId="0" fontId="20" fillId="0" borderId="10" xfId="20" applyFont="1" applyFill="1" applyBorder="1" applyAlignment="1">
      <alignment horizontal="center" vertical="center" wrapText="1"/>
      <protection/>
    </xf>
    <xf numFmtId="0" fontId="20" fillId="0" borderId="11" xfId="20" applyFont="1" applyFill="1" applyBorder="1" applyAlignment="1">
      <alignment horizontal="center" vertical="center" wrapText="1"/>
      <protection/>
    </xf>
    <xf numFmtId="0" fontId="20" fillId="0" borderId="12" xfId="20" applyFont="1" applyFill="1" applyBorder="1" applyAlignment="1">
      <alignment horizontal="center" vertical="center" wrapText="1"/>
      <protection/>
    </xf>
    <xf numFmtId="0" fontId="20" fillId="0" borderId="13" xfId="20" applyFont="1" applyFill="1" applyBorder="1" applyAlignment="1">
      <alignment horizontal="center" vertical="center" wrapText="1"/>
      <protection/>
    </xf>
    <xf numFmtId="0" fontId="14" fillId="0" borderId="4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21" fillId="0" borderId="4" xfId="20" applyFont="1" applyFill="1" applyBorder="1" applyAlignment="1">
      <alignment horizontal="center" vertical="center" wrapText="1"/>
      <protection/>
    </xf>
    <xf numFmtId="0" fontId="21" fillId="0" borderId="6" xfId="20" applyFont="1" applyFill="1" applyBorder="1" applyAlignment="1">
      <alignment horizontal="center" vertical="center" wrapText="1"/>
      <protection/>
    </xf>
    <xf numFmtId="0" fontId="21" fillId="0" borderId="5" xfId="20" applyFont="1" applyFill="1" applyBorder="1" applyAlignment="1">
      <alignment horizontal="center" vertical="center" wrapText="1"/>
      <protection/>
    </xf>
    <xf numFmtId="0" fontId="17" fillId="0" borderId="2" xfId="20" applyFont="1" applyBorder="1" applyAlignment="1">
      <alignment horizontal="center" wrapText="1"/>
      <protection/>
    </xf>
    <xf numFmtId="0" fontId="21" fillId="0" borderId="2" xfId="20" applyFont="1" applyFill="1" applyBorder="1" applyAlignment="1">
      <alignment horizontal="center" vertical="center" wrapText="1"/>
      <protection/>
    </xf>
  </cellXfs>
  <cellStyles count="10">
    <cellStyle name="Normal" xfId="0"/>
    <cellStyle name="Currency" xfId="15"/>
    <cellStyle name="Currency [0]" xfId="16"/>
    <cellStyle name="Обычный_Лист1" xfId="17"/>
    <cellStyle name="Обычный_Республиканскую, 15 а" xfId="18"/>
    <cellStyle name="Обычный_Ст.Разина, 50" xfId="19"/>
    <cellStyle name="Обычный_Ющенко, 45 на 10,50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114</xdr:row>
      <xdr:rowOff>104775</xdr:rowOff>
    </xdr:from>
    <xdr:to>
      <xdr:col>7</xdr:col>
      <xdr:colOff>428625</xdr:colOff>
      <xdr:row>116</xdr:row>
      <xdr:rowOff>514350</xdr:rowOff>
    </xdr:to>
    <xdr:pic>
      <xdr:nvPicPr>
        <xdr:cNvPr id="1" name="Picture 1" descr="Формула расчета стоимостей работ в МК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28051125"/>
          <a:ext cx="7210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3"/>
  <sheetViews>
    <sheetView workbookViewId="0" topLeftCell="B52">
      <selection activeCell="G75" sqref="G75"/>
    </sheetView>
  </sheetViews>
  <sheetFormatPr defaultColWidth="9.140625" defaultRowHeight="12"/>
  <cols>
    <col min="1" max="1" width="0" style="0" hidden="1" customWidth="1"/>
    <col min="2" max="2" width="7.00390625" style="0" customWidth="1"/>
    <col min="3" max="3" width="50.00390625" style="3" customWidth="1"/>
    <col min="4" max="4" width="18.00390625" style="0" customWidth="1"/>
    <col min="5" max="5" width="15.00390625" style="4" customWidth="1"/>
    <col min="6" max="6" width="11.28125" style="0" customWidth="1"/>
    <col min="7" max="7" width="7.421875" style="4" customWidth="1"/>
    <col min="8" max="13" width="13.00390625" style="0" customWidth="1"/>
    <col min="14" max="14" width="15.7109375" style="0" customWidth="1"/>
    <col min="15" max="15" width="19.140625" style="0" customWidth="1"/>
    <col min="16" max="16" width="18.7109375" style="1" customWidth="1"/>
    <col min="17" max="17" width="18.8515625" style="2" hidden="1" customWidth="1"/>
    <col min="18" max="18" width="18.421875" style="0" customWidth="1"/>
  </cols>
  <sheetData>
    <row r="1" spans="2:17" ht="27.75" customHeight="1">
      <c r="B1" s="141" t="s">
        <v>184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13"/>
      <c r="Q1" s="2">
        <v>3243</v>
      </c>
    </row>
    <row r="2" ht="12.75" thickBot="1"/>
    <row r="3" spans="1:18" s="11" customFormat="1" ht="99.75" customHeight="1" thickBot="1">
      <c r="A3" s="5"/>
      <c r="B3" s="6" t="s">
        <v>0</v>
      </c>
      <c r="C3" s="7" t="s">
        <v>1</v>
      </c>
      <c r="D3" s="8" t="s">
        <v>2</v>
      </c>
      <c r="E3" s="6" t="s">
        <v>3</v>
      </c>
      <c r="F3" s="6" t="s">
        <v>4</v>
      </c>
      <c r="G3" s="6" t="s">
        <v>4</v>
      </c>
      <c r="H3" s="6" t="s">
        <v>5</v>
      </c>
      <c r="I3" s="6" t="s">
        <v>6</v>
      </c>
      <c r="J3" s="6" t="s">
        <v>7</v>
      </c>
      <c r="K3" s="6" t="s">
        <v>8</v>
      </c>
      <c r="L3" s="6" t="s">
        <v>9</v>
      </c>
      <c r="M3" s="6" t="s">
        <v>10</v>
      </c>
      <c r="N3" s="6" t="s">
        <v>11</v>
      </c>
      <c r="O3" s="6" t="s">
        <v>174</v>
      </c>
      <c r="P3" s="9" t="s">
        <v>120</v>
      </c>
      <c r="Q3" s="10" t="s">
        <v>173</v>
      </c>
      <c r="R3" s="122" t="s">
        <v>177</v>
      </c>
    </row>
    <row r="4" spans="2:18" ht="19.5" customHeight="1">
      <c r="B4" s="143" t="s">
        <v>12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2"/>
      <c r="R4" s="123"/>
    </row>
    <row r="5" spans="2:18" ht="15" customHeight="1">
      <c r="B5" s="145" t="s">
        <v>13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2"/>
      <c r="R5" s="123"/>
    </row>
    <row r="6" spans="2:18" ht="15">
      <c r="B6" s="144" t="s">
        <v>14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2"/>
      <c r="R6" s="123"/>
    </row>
    <row r="7" spans="1:19" s="19" customFormat="1" ht="25.5">
      <c r="A7" s="13"/>
      <c r="B7" s="14">
        <v>1</v>
      </c>
      <c r="C7" s="15" t="s">
        <v>15</v>
      </c>
      <c r="D7" s="25" t="s">
        <v>16</v>
      </c>
      <c r="E7" s="25">
        <v>0.1</v>
      </c>
      <c r="F7" s="25">
        <v>2</v>
      </c>
      <c r="G7" s="25">
        <v>7.5</v>
      </c>
      <c r="H7" s="16">
        <f>3576.69*E7*G7</f>
        <v>2682.5175000000004</v>
      </c>
      <c r="I7" s="16">
        <f>8692.88896424*E7*G7</f>
        <v>6519.66672318</v>
      </c>
      <c r="J7" s="16">
        <f>0*E7*G7</f>
        <v>0</v>
      </c>
      <c r="K7" s="16">
        <f>3050.201232*E7*G7</f>
        <v>2287.650924</v>
      </c>
      <c r="L7" s="16">
        <f>76.5989009812*E7*G7</f>
        <v>57.449175735900006</v>
      </c>
      <c r="M7" s="16">
        <f>357.669*E7*G7</f>
        <v>268.25175</v>
      </c>
      <c r="N7" s="16">
        <f>SUM(H7:M7)</f>
        <v>11815.536072915898</v>
      </c>
      <c r="O7" s="16">
        <f>N7/12/L54</f>
        <v>0.3036164064373496</v>
      </c>
      <c r="P7" s="16">
        <f>N7/12/Q1</f>
        <v>0.3036164064373496</v>
      </c>
      <c r="Q7" s="17">
        <f>P7*12.95%+P7</f>
        <v>0.3429347310709864</v>
      </c>
      <c r="R7" s="16">
        <v>0.36</v>
      </c>
      <c r="S7" s="18"/>
    </row>
    <row r="8" spans="2:18" s="4" customFormat="1" ht="15">
      <c r="B8" s="134" t="s">
        <v>17</v>
      </c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6"/>
      <c r="R8" s="16"/>
    </row>
    <row r="9" spans="2:18" s="20" customFormat="1" ht="38.25">
      <c r="B9" s="14">
        <v>2</v>
      </c>
      <c r="C9" s="15" t="s">
        <v>18</v>
      </c>
      <c r="D9" s="25" t="s">
        <v>19</v>
      </c>
      <c r="E9" s="25">
        <v>3.6</v>
      </c>
      <c r="F9" s="25">
        <v>1</v>
      </c>
      <c r="G9" s="25">
        <v>3</v>
      </c>
      <c r="H9" s="16">
        <f>540.27*E9*G9</f>
        <v>5834.916</v>
      </c>
      <c r="I9" s="16">
        <f>165.76494272*E9*G9</f>
        <v>1790.261381376</v>
      </c>
      <c r="J9" s="16">
        <f>0*E9*G9</f>
        <v>0</v>
      </c>
      <c r="K9" s="16">
        <f>514.33704*E9*G9</f>
        <v>5554.840032</v>
      </c>
      <c r="L9" s="16">
        <f>6.1018599136*E9*G9</f>
        <v>65.90008706688</v>
      </c>
      <c r="M9" s="16">
        <f>54.027*E9*G9</f>
        <v>583.4916000000001</v>
      </c>
      <c r="N9" s="16">
        <f>SUM(H9:M9)</f>
        <v>13829.409100442881</v>
      </c>
      <c r="O9" s="16">
        <f>N9/12/L54</f>
        <v>0.355365636253543</v>
      </c>
      <c r="P9" s="16">
        <f>N9/12/Q1</f>
        <v>0.355365636253543</v>
      </c>
      <c r="Q9" s="17">
        <v>0.41</v>
      </c>
      <c r="R9" s="16">
        <v>0.44</v>
      </c>
    </row>
    <row r="10" spans="1:19" s="23" customFormat="1" ht="16.5">
      <c r="A10" s="21"/>
      <c r="B10" s="137" t="s">
        <v>20</v>
      </c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9"/>
      <c r="R10" s="16"/>
      <c r="S10" s="22"/>
    </row>
    <row r="11" spans="1:19" s="23" customFormat="1" ht="15">
      <c r="A11" s="21"/>
      <c r="B11" s="134" t="s">
        <v>21</v>
      </c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6"/>
      <c r="R11" s="16"/>
      <c r="S11" s="22"/>
    </row>
    <row r="12" spans="1:19" s="19" customFormat="1" ht="25.5">
      <c r="A12" s="13"/>
      <c r="B12" s="14">
        <v>3</v>
      </c>
      <c r="C12" s="15" t="s">
        <v>22</v>
      </c>
      <c r="D12" s="25" t="s">
        <v>23</v>
      </c>
      <c r="E12" s="25">
        <v>2.584</v>
      </c>
      <c r="F12" s="103">
        <v>12</v>
      </c>
      <c r="G12" s="25">
        <v>0.3</v>
      </c>
      <c r="H12" s="16">
        <f>4311.36*E12*G12</f>
        <v>3342.166272</v>
      </c>
      <c r="I12" s="16">
        <f>9071.7797872*E12*G12</f>
        <v>7032.443691037439</v>
      </c>
      <c r="J12" s="16">
        <f>0*E12*G12</f>
        <v>0</v>
      </c>
      <c r="K12" s="16">
        <f>3676.727808*E12*G12</f>
        <v>2850.1993967616</v>
      </c>
      <c r="L12" s="16">
        <f>85.299337976*E12*G12</f>
        <v>66.1240467989952</v>
      </c>
      <c r="M12" s="16">
        <f>431.136*E12*G12</f>
        <v>334.2166272</v>
      </c>
      <c r="N12" s="16">
        <f>SUM(H12:M12)</f>
        <v>13625.150033798034</v>
      </c>
      <c r="O12" s="16">
        <f>N12/12/L54</f>
        <v>0.3501169193595959</v>
      </c>
      <c r="P12" s="16">
        <f>N12/12/Q1</f>
        <v>0.3501169193595959</v>
      </c>
      <c r="Q12" s="17">
        <v>0.4</v>
      </c>
      <c r="R12" s="16">
        <f aca="true" t="shared" si="0" ref="R12:R44">P12*21%+P12</f>
        <v>0.423641472425111</v>
      </c>
      <c r="S12" s="18"/>
    </row>
    <row r="13" spans="1:19" s="23" customFormat="1" ht="15">
      <c r="A13" s="21"/>
      <c r="B13" s="134" t="s">
        <v>24</v>
      </c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6"/>
      <c r="R13" s="16"/>
      <c r="S13" s="22"/>
    </row>
    <row r="14" spans="1:19" s="19" customFormat="1" ht="25.5">
      <c r="A14" s="13"/>
      <c r="B14" s="14">
        <v>4</v>
      </c>
      <c r="C14" s="15" t="s">
        <v>25</v>
      </c>
      <c r="D14" s="25" t="s">
        <v>23</v>
      </c>
      <c r="E14" s="25">
        <v>0.456</v>
      </c>
      <c r="F14" s="25">
        <v>12</v>
      </c>
      <c r="G14" s="25">
        <v>0.2</v>
      </c>
      <c r="H14" s="16">
        <f>25727.964*E14*G14</f>
        <v>2346.3903168</v>
      </c>
      <c r="I14" s="16">
        <f>125210.66689248*E14*G14</f>
        <v>11419.212820594177</v>
      </c>
      <c r="J14" s="16">
        <f>0*E14*G14</f>
        <v>0</v>
      </c>
      <c r="K14" s="16">
        <f>21940.8076992*E14*G14</f>
        <v>2001.00166216704</v>
      </c>
      <c r="L14" s="16">
        <f>864.3971929584*E14*G14</f>
        <v>78.8330239978061</v>
      </c>
      <c r="M14" s="16">
        <f>2572.7964*E14*G14</f>
        <v>234.63903168000002</v>
      </c>
      <c r="N14" s="16">
        <v>16080.07</v>
      </c>
      <c r="O14" s="16">
        <f>N14/12/L54</f>
        <v>0.4131994552369206</v>
      </c>
      <c r="P14" s="16">
        <f>N14/12/Q1</f>
        <v>0.4131994552369206</v>
      </c>
      <c r="Q14" s="17">
        <v>0.46</v>
      </c>
      <c r="R14" s="16">
        <f t="shared" si="0"/>
        <v>0.49997134083667394</v>
      </c>
      <c r="S14" s="18"/>
    </row>
    <row r="15" spans="1:19" s="23" customFormat="1" ht="15">
      <c r="A15" s="21"/>
      <c r="B15" s="134" t="s">
        <v>26</v>
      </c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6"/>
      <c r="R15" s="16"/>
      <c r="S15" s="22"/>
    </row>
    <row r="16" spans="1:19" s="19" customFormat="1" ht="165" customHeight="1">
      <c r="A16" s="13"/>
      <c r="B16" s="14">
        <v>5</v>
      </c>
      <c r="C16" s="15" t="s">
        <v>27</v>
      </c>
      <c r="D16" s="131" t="s">
        <v>28</v>
      </c>
      <c r="E16" s="132"/>
      <c r="F16" s="132"/>
      <c r="G16" s="132"/>
      <c r="H16" s="132"/>
      <c r="I16" s="132"/>
      <c r="J16" s="132"/>
      <c r="K16" s="132"/>
      <c r="L16" s="132"/>
      <c r="M16" s="132"/>
      <c r="N16" s="24">
        <v>3502.44</v>
      </c>
      <c r="O16" s="24">
        <f>N16/12/L54</f>
        <v>0.09</v>
      </c>
      <c r="P16" s="16">
        <v>0.09</v>
      </c>
      <c r="Q16" s="17">
        <f aca="true" t="shared" si="1" ref="Q16:Q44">P16*12.95%+P16</f>
        <v>0.101655</v>
      </c>
      <c r="R16" s="16">
        <f t="shared" si="0"/>
        <v>0.1089</v>
      </c>
      <c r="S16" s="18"/>
    </row>
    <row r="17" spans="1:19" s="23" customFormat="1" ht="15">
      <c r="A17" s="21"/>
      <c r="B17" s="134" t="s">
        <v>29</v>
      </c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6"/>
      <c r="R17" s="16"/>
      <c r="S17" s="22"/>
    </row>
    <row r="18" spans="2:18" s="20" customFormat="1" ht="25.5">
      <c r="B18" s="14">
        <v>6</v>
      </c>
      <c r="C18" s="15" t="s">
        <v>30</v>
      </c>
      <c r="D18" s="25" t="s">
        <v>31</v>
      </c>
      <c r="E18" s="25">
        <v>4</v>
      </c>
      <c r="F18" s="25">
        <v>1</v>
      </c>
      <c r="G18" s="25">
        <v>12</v>
      </c>
      <c r="H18" s="16">
        <f>18.20352*E18*G18</f>
        <v>873.7689600000001</v>
      </c>
      <c r="I18" s="16">
        <f>50.1072*E18*G18</f>
        <v>2405.1456</v>
      </c>
      <c r="J18" s="16">
        <f>0*E18*G18</f>
        <v>0</v>
      </c>
      <c r="K18" s="16">
        <f>15.523961856*E18*G18</f>
        <v>745.150169088</v>
      </c>
      <c r="L18" s="16">
        <f>0.41917340928*E18*G18</f>
        <v>20.120323645440003</v>
      </c>
      <c r="M18" s="16">
        <f>1.820352*E18*G18</f>
        <v>87.376896</v>
      </c>
      <c r="N18" s="16">
        <v>4131.57</v>
      </c>
      <c r="O18" s="16">
        <f>N18/12/L54</f>
        <v>0.10616635831020658</v>
      </c>
      <c r="P18" s="16">
        <f>N18/12/Q1</f>
        <v>0.10616635831020658</v>
      </c>
      <c r="Q18" s="17">
        <f t="shared" si="1"/>
        <v>0.11991490171137834</v>
      </c>
      <c r="R18" s="16">
        <f t="shared" si="0"/>
        <v>0.12846129355534996</v>
      </c>
    </row>
    <row r="19" spans="2:18" s="20" customFormat="1" ht="51">
      <c r="B19" s="14">
        <v>7</v>
      </c>
      <c r="C19" s="15" t="s">
        <v>32</v>
      </c>
      <c r="D19" s="25" t="s">
        <v>33</v>
      </c>
      <c r="E19" s="25">
        <v>4</v>
      </c>
      <c r="F19" s="25">
        <v>1</v>
      </c>
      <c r="G19" s="25">
        <v>20</v>
      </c>
      <c r="H19" s="16">
        <f>15.32928*E19*G19</f>
        <v>1226.3424</v>
      </c>
      <c r="I19" s="16">
        <f>18.5744*E19*G19</f>
        <v>1485.952</v>
      </c>
      <c r="J19" s="16">
        <f>0*E19*G19</f>
        <v>0</v>
      </c>
      <c r="K19" s="16">
        <f>13.072809984*E19*G19</f>
        <v>1045.82479872</v>
      </c>
      <c r="L19" s="16">
        <f>0.23488244992*E19*G19</f>
        <v>18.7905959936</v>
      </c>
      <c r="M19" s="16">
        <f>1.532928*E19*G19</f>
        <v>122.63424</v>
      </c>
      <c r="N19" s="16">
        <v>3899.53</v>
      </c>
      <c r="O19" s="16">
        <f>N19/12/L54</f>
        <v>0.1002037722273615</v>
      </c>
      <c r="P19" s="16">
        <f>N19/12/Q1</f>
        <v>0.1002037722273615</v>
      </c>
      <c r="Q19" s="17">
        <f t="shared" si="1"/>
        <v>0.11318016073080482</v>
      </c>
      <c r="R19" s="16">
        <f t="shared" si="0"/>
        <v>0.12124656439510742</v>
      </c>
    </row>
    <row r="20" spans="2:18" s="20" customFormat="1" ht="25.5">
      <c r="B20" s="14">
        <v>8</v>
      </c>
      <c r="C20" s="15" t="s">
        <v>34</v>
      </c>
      <c r="D20" s="25" t="s">
        <v>35</v>
      </c>
      <c r="E20" s="25">
        <v>20</v>
      </c>
      <c r="F20" s="25">
        <v>1</v>
      </c>
      <c r="G20" s="25">
        <v>2</v>
      </c>
      <c r="H20" s="16">
        <f>9.10176*E20*G20</f>
        <v>364.0704</v>
      </c>
      <c r="I20" s="16">
        <f>129.8648*E20*G20</f>
        <v>5194.592000000001</v>
      </c>
      <c r="J20" s="16">
        <f>0*E20*G20</f>
        <v>0</v>
      </c>
      <c r="K20" s="16">
        <f>7.761980928*E20*G20</f>
        <v>310.47923712</v>
      </c>
      <c r="L20" s="16">
        <f>0.73364270464*E20*G20</f>
        <v>29.345708185600003</v>
      </c>
      <c r="M20" s="16">
        <f>0.910176*E20*G20</f>
        <v>36.40704</v>
      </c>
      <c r="N20" s="16">
        <v>5934.9</v>
      </c>
      <c r="O20" s="16">
        <f>N20/12/L54</f>
        <v>0.15250539623805118</v>
      </c>
      <c r="P20" s="16">
        <f>N20/12/Q1</f>
        <v>0.15250539623805118</v>
      </c>
      <c r="Q20" s="17">
        <f t="shared" si="1"/>
        <v>0.1722548450508788</v>
      </c>
      <c r="R20" s="16">
        <f t="shared" si="0"/>
        <v>0.1845315294480419</v>
      </c>
    </row>
    <row r="21" spans="1:19" s="23" customFormat="1" ht="15">
      <c r="A21" s="21"/>
      <c r="B21" s="134" t="s">
        <v>36</v>
      </c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6"/>
      <c r="R21" s="16"/>
      <c r="S21" s="22"/>
    </row>
    <row r="22" spans="2:18" s="20" customFormat="1" ht="38.25">
      <c r="B22" s="14">
        <v>9</v>
      </c>
      <c r="C22" s="15" t="s">
        <v>37</v>
      </c>
      <c r="D22" s="25" t="s">
        <v>38</v>
      </c>
      <c r="E22" s="25">
        <v>0.1</v>
      </c>
      <c r="F22" s="25">
        <v>1</v>
      </c>
      <c r="G22" s="25">
        <v>2</v>
      </c>
      <c r="H22" s="16">
        <f>2109.33*E22*G22</f>
        <v>421.866</v>
      </c>
      <c r="I22" s="16">
        <f>16726.467680768*E22*G22</f>
        <v>3345.2935361536</v>
      </c>
      <c r="J22" s="16">
        <f aca="true" t="shared" si="2" ref="J22:J35">0*E22*G22</f>
        <v>0</v>
      </c>
      <c r="K22" s="16">
        <f>1798.836624*E22*G22</f>
        <v>359.76732480000004</v>
      </c>
      <c r="L22" s="16">
        <f>103.17317152384*E22*G22</f>
        <v>20.634634304768</v>
      </c>
      <c r="M22" s="16">
        <f>210.933*E22*G22</f>
        <v>42.1866</v>
      </c>
      <c r="N22" s="16">
        <f aca="true" t="shared" si="3" ref="N22:N27">SUM(H22:M22)</f>
        <v>4189.748095258368</v>
      </c>
      <c r="O22" s="16">
        <f>N22/12/L54</f>
        <v>0.10766132426915327</v>
      </c>
      <c r="P22" s="16">
        <f>N22/12/Q1</f>
        <v>0.10766132426915327</v>
      </c>
      <c r="Q22" s="17">
        <f t="shared" si="1"/>
        <v>0.12160346576200862</v>
      </c>
      <c r="R22" s="16">
        <f t="shared" si="0"/>
        <v>0.13027020236567546</v>
      </c>
    </row>
    <row r="23" spans="2:18" s="20" customFormat="1" ht="12.75">
      <c r="B23" s="14">
        <v>10</v>
      </c>
      <c r="C23" s="15" t="s">
        <v>39</v>
      </c>
      <c r="D23" s="25" t="s">
        <v>40</v>
      </c>
      <c r="E23" s="25">
        <v>0.876</v>
      </c>
      <c r="F23" s="25">
        <v>2</v>
      </c>
      <c r="G23" s="25">
        <v>9</v>
      </c>
      <c r="H23" s="16">
        <f>302.5512*E23*G23</f>
        <v>2385.3136608</v>
      </c>
      <c r="I23" s="16">
        <f>0*E23*G23</f>
        <v>0</v>
      </c>
      <c r="J23" s="16">
        <f t="shared" si="2"/>
        <v>0</v>
      </c>
      <c r="K23" s="16">
        <f>258.01566336*E23*G23</f>
        <v>2034.1954899302402</v>
      </c>
      <c r="L23" s="16">
        <f>2.8028343168*E23*G23</f>
        <v>22.097545753651197</v>
      </c>
      <c r="M23" s="16">
        <f>30.25512*E23*G23</f>
        <v>238.53136608</v>
      </c>
      <c r="N23" s="16">
        <f t="shared" si="3"/>
        <v>4680.138062563892</v>
      </c>
      <c r="O23" s="16">
        <f>N23/12/L54</f>
        <v>0.1202625671334128</v>
      </c>
      <c r="P23" s="16">
        <f>N23/12/Q1</f>
        <v>0.1202625671334128</v>
      </c>
      <c r="Q23" s="17">
        <f t="shared" si="1"/>
        <v>0.13583656957718976</v>
      </c>
      <c r="R23" s="16">
        <f t="shared" si="0"/>
        <v>0.14551770623142948</v>
      </c>
    </row>
    <row r="24" spans="2:18" s="20" customFormat="1" ht="68.25" customHeight="1">
      <c r="B24" s="14">
        <v>11</v>
      </c>
      <c r="C24" s="15" t="s">
        <v>41</v>
      </c>
      <c r="D24" s="25" t="s">
        <v>42</v>
      </c>
      <c r="E24" s="25">
        <v>0.6</v>
      </c>
      <c r="F24" s="25">
        <v>1</v>
      </c>
      <c r="G24" s="25">
        <v>1.5</v>
      </c>
      <c r="H24" s="16">
        <f>6483.24*E24*G24</f>
        <v>5834.915999999999</v>
      </c>
      <c r="I24" s="16">
        <f>0*E24*G24</f>
        <v>0</v>
      </c>
      <c r="J24" s="16">
        <f t="shared" si="2"/>
        <v>0</v>
      </c>
      <c r="K24" s="16">
        <f>5528.907072*E24*G24</f>
        <v>4976.0163648</v>
      </c>
      <c r="L24" s="16">
        <f>60.06073536*E24*G24</f>
        <v>54.054661824</v>
      </c>
      <c r="M24" s="16">
        <f>648.324*E24*G24</f>
        <v>583.4916</v>
      </c>
      <c r="N24" s="16">
        <f t="shared" si="3"/>
        <v>11448.478626623999</v>
      </c>
      <c r="O24" s="16">
        <f>N24/12/L54</f>
        <v>0.29418436187234037</v>
      </c>
      <c r="P24" s="16">
        <f>N24/12/Q1</f>
        <v>0.29418436187234037</v>
      </c>
      <c r="Q24" s="17">
        <f t="shared" si="1"/>
        <v>0.33228123673480847</v>
      </c>
      <c r="R24" s="16">
        <v>0.35</v>
      </c>
    </row>
    <row r="25" spans="2:18" s="20" customFormat="1" ht="25.5">
      <c r="B25" s="14">
        <v>12</v>
      </c>
      <c r="C25" s="15" t="s">
        <v>43</v>
      </c>
      <c r="D25" s="25" t="s">
        <v>44</v>
      </c>
      <c r="E25" s="25">
        <v>0.2</v>
      </c>
      <c r="F25" s="25">
        <v>1</v>
      </c>
      <c r="G25" s="25">
        <v>12</v>
      </c>
      <c r="H25" s="16">
        <f>972.486*E25*G25</f>
        <v>2333.9664000000002</v>
      </c>
      <c r="I25" s="16">
        <f>0*E25*G25</f>
        <v>0</v>
      </c>
      <c r="J25" s="16">
        <f t="shared" si="2"/>
        <v>0</v>
      </c>
      <c r="K25" s="16">
        <f>829.3360608*E25*G25</f>
        <v>1990.40654592</v>
      </c>
      <c r="L25" s="16">
        <f>9.009110304*E25*G25</f>
        <v>21.621864729600002</v>
      </c>
      <c r="M25" s="16">
        <f>97.2486*E25*G25</f>
        <v>233.39664</v>
      </c>
      <c r="N25" s="16">
        <v>4579.4</v>
      </c>
      <c r="O25" s="16">
        <f>N25/12/L54</f>
        <v>0.11767396443622159</v>
      </c>
      <c r="P25" s="16">
        <f>N25/12/Q1</f>
        <v>0.11767396443622159</v>
      </c>
      <c r="Q25" s="17">
        <v>0.14</v>
      </c>
      <c r="R25" s="16">
        <v>0.15</v>
      </c>
    </row>
    <row r="26" spans="2:18" s="20" customFormat="1" ht="31.5" customHeight="1">
      <c r="B26" s="14">
        <v>13</v>
      </c>
      <c r="C26" s="15" t="s">
        <v>45</v>
      </c>
      <c r="D26" s="25" t="s">
        <v>46</v>
      </c>
      <c r="E26" s="25">
        <v>4.8</v>
      </c>
      <c r="F26" s="25">
        <v>1</v>
      </c>
      <c r="G26" s="25">
        <v>2</v>
      </c>
      <c r="H26" s="16">
        <f>479.04*E26*G26</f>
        <v>4598.784</v>
      </c>
      <c r="I26" s="16">
        <f>312.85072*E26*G26</f>
        <v>3003.366912</v>
      </c>
      <c r="J26" s="16">
        <f t="shared" si="2"/>
        <v>0</v>
      </c>
      <c r="K26" s="16">
        <f>408.525312*E26*G26</f>
        <v>3921.8429951999997</v>
      </c>
      <c r="L26" s="16">
        <f>6.00208016*E26*G26</f>
        <v>57.619969536</v>
      </c>
      <c r="M26" s="16">
        <f>47.904*E26*G26</f>
        <v>459.8784</v>
      </c>
      <c r="N26" s="16">
        <f t="shared" si="3"/>
        <v>12041.492276735997</v>
      </c>
      <c r="O26" s="16">
        <f>N26/12/L54</f>
        <v>0.30942266103237737</v>
      </c>
      <c r="P26" s="16">
        <f>N26/12/Q1</f>
        <v>0.30942266103237737</v>
      </c>
      <c r="Q26" s="17">
        <f t="shared" si="1"/>
        <v>0.3494928956360702</v>
      </c>
      <c r="R26" s="16">
        <f t="shared" si="0"/>
        <v>0.37440141984917663</v>
      </c>
    </row>
    <row r="27" spans="2:18" s="20" customFormat="1" ht="25.5">
      <c r="B27" s="14">
        <v>14</v>
      </c>
      <c r="C27" s="15" t="s">
        <v>47</v>
      </c>
      <c r="D27" s="25" t="s">
        <v>46</v>
      </c>
      <c r="E27" s="25">
        <v>4.8</v>
      </c>
      <c r="F27" s="25">
        <v>1</v>
      </c>
      <c r="G27" s="25">
        <v>2</v>
      </c>
      <c r="H27" s="16">
        <f>191.616*E27*G27</f>
        <v>1839.5136</v>
      </c>
      <c r="I27" s="16">
        <f aca="true" t="shared" si="4" ref="I27:I35">0*E27*G27</f>
        <v>0</v>
      </c>
      <c r="J27" s="16">
        <f t="shared" si="2"/>
        <v>0</v>
      </c>
      <c r="K27" s="16">
        <f>163.4101248*E27*G27</f>
        <v>1568.73719808</v>
      </c>
      <c r="L27" s="16">
        <f>1.775130624*E27*G27</f>
        <v>17.041253990399998</v>
      </c>
      <c r="M27" s="16">
        <f>19.1616*E27*G27</f>
        <v>183.95136</v>
      </c>
      <c r="N27" s="16">
        <f t="shared" si="3"/>
        <v>3609.2434120704</v>
      </c>
      <c r="O27" s="16">
        <f>N27/12/L54</f>
        <v>0.09274446017243294</v>
      </c>
      <c r="P27" s="16">
        <f>N27/12/Q1</f>
        <v>0.09274446017243294</v>
      </c>
      <c r="Q27" s="17">
        <f t="shared" si="1"/>
        <v>0.104754867764763</v>
      </c>
      <c r="R27" s="16">
        <f t="shared" si="0"/>
        <v>0.11222079680864386</v>
      </c>
    </row>
    <row r="28" spans="2:18" s="20" customFormat="1" ht="12.75">
      <c r="B28" s="14">
        <v>17</v>
      </c>
      <c r="C28" s="15" t="s">
        <v>48</v>
      </c>
      <c r="D28" s="25" t="s">
        <v>49</v>
      </c>
      <c r="E28" s="25">
        <v>12</v>
      </c>
      <c r="F28" s="25">
        <v>1</v>
      </c>
      <c r="G28" s="25">
        <v>2</v>
      </c>
      <c r="H28" s="16">
        <f>27.37367963982*E28*G28</f>
        <v>656.96831135568</v>
      </c>
      <c r="I28" s="16">
        <f t="shared" si="4"/>
        <v>0</v>
      </c>
      <c r="J28" s="16">
        <f t="shared" si="2"/>
        <v>0</v>
      </c>
      <c r="K28" s="16">
        <f>23.344273996838*E28*G28</f>
        <v>560.2625759241121</v>
      </c>
      <c r="L28" s="16">
        <f>0.25358976818329*E28*G28</f>
        <v>6.08615443639896</v>
      </c>
      <c r="M28" s="16">
        <f>2.737367963982*E28*G28</f>
        <v>65.696831135568</v>
      </c>
      <c r="N28" s="16">
        <v>1289.02</v>
      </c>
      <c r="O28" s="16">
        <f>N28/12/L54</f>
        <v>0.033123137013053756</v>
      </c>
      <c r="P28" s="16">
        <f>N28/12/Q1</f>
        <v>0.033123137013053756</v>
      </c>
      <c r="Q28" s="17">
        <v>0.03</v>
      </c>
      <c r="R28" s="16">
        <f t="shared" si="0"/>
        <v>0.040078995785795046</v>
      </c>
    </row>
    <row r="29" spans="2:18" s="20" customFormat="1" ht="38.25">
      <c r="B29" s="14">
        <v>15</v>
      </c>
      <c r="C29" s="15" t="s">
        <v>50</v>
      </c>
      <c r="D29" s="25" t="s">
        <v>51</v>
      </c>
      <c r="E29" s="25">
        <v>0.399</v>
      </c>
      <c r="F29" s="25">
        <v>2</v>
      </c>
      <c r="G29" s="25">
        <v>32</v>
      </c>
      <c r="H29" s="16">
        <f>432.216*E29*G29</f>
        <v>5518.533888000001</v>
      </c>
      <c r="I29" s="16">
        <f t="shared" si="4"/>
        <v>0</v>
      </c>
      <c r="J29" s="16">
        <f t="shared" si="2"/>
        <v>0</v>
      </c>
      <c r="K29" s="16">
        <f>368.5938048*E29*G29</f>
        <v>4706.2056996864</v>
      </c>
      <c r="L29" s="16">
        <f>4.004049024*E29*G29</f>
        <v>51.12369793843201</v>
      </c>
      <c r="M29" s="16">
        <f>43.2216*E29*G29</f>
        <v>551.8533888000001</v>
      </c>
      <c r="N29" s="16">
        <v>10827.71</v>
      </c>
      <c r="O29" s="16">
        <f>N29/12/L54</f>
        <v>0.27823286052009455</v>
      </c>
      <c r="P29" s="16">
        <f>N29/12/Q1</f>
        <v>0.27823286052009455</v>
      </c>
      <c r="Q29" s="17">
        <v>0.32</v>
      </c>
      <c r="R29" s="16">
        <f t="shared" si="0"/>
        <v>0.3366617612293144</v>
      </c>
    </row>
    <row r="30" spans="2:18" s="20" customFormat="1" ht="25.5">
      <c r="B30" s="14">
        <v>16</v>
      </c>
      <c r="C30" s="15" t="s">
        <v>52</v>
      </c>
      <c r="D30" s="25" t="s">
        <v>53</v>
      </c>
      <c r="E30" s="25">
        <v>1</v>
      </c>
      <c r="F30" s="25">
        <v>2</v>
      </c>
      <c r="G30" s="25">
        <v>10</v>
      </c>
      <c r="H30" s="16">
        <f>383.232*E30*G30</f>
        <v>3832.32</v>
      </c>
      <c r="I30" s="16">
        <f t="shared" si="4"/>
        <v>0</v>
      </c>
      <c r="J30" s="16">
        <f t="shared" si="2"/>
        <v>0</v>
      </c>
      <c r="K30" s="16">
        <f>326.8202496*E30*G30</f>
        <v>3268.202496</v>
      </c>
      <c r="L30" s="16">
        <f>3.550261248*E30*G30</f>
        <v>35.502612479999996</v>
      </c>
      <c r="M30" s="16">
        <f>38.3232*E30*G30</f>
        <v>383.23199999999997</v>
      </c>
      <c r="N30" s="16">
        <v>7519.25</v>
      </c>
      <c r="O30" s="16">
        <f>N30/12/L54</f>
        <v>0.19321744269709115</v>
      </c>
      <c r="P30" s="16">
        <f>N30/12/Q1</f>
        <v>0.19321744269709115</v>
      </c>
      <c r="Q30" s="17">
        <f t="shared" si="1"/>
        <v>0.21823910152636444</v>
      </c>
      <c r="R30" s="16">
        <f t="shared" si="0"/>
        <v>0.2337931056634803</v>
      </c>
    </row>
    <row r="31" spans="2:18" s="20" customFormat="1" ht="25.5">
      <c r="B31" s="14">
        <v>17</v>
      </c>
      <c r="C31" s="15" t="s">
        <v>54</v>
      </c>
      <c r="D31" s="25" t="s">
        <v>55</v>
      </c>
      <c r="E31" s="25">
        <v>7.28</v>
      </c>
      <c r="F31" s="25">
        <v>2</v>
      </c>
      <c r="G31" s="25">
        <v>3</v>
      </c>
      <c r="H31" s="16">
        <f>402.0324*E31*G31</f>
        <v>8780.387616</v>
      </c>
      <c r="I31" s="16">
        <f t="shared" si="4"/>
        <v>0</v>
      </c>
      <c r="J31" s="16">
        <f t="shared" si="2"/>
        <v>0</v>
      </c>
      <c r="K31" s="16">
        <f>342.85323072*E31*G31</f>
        <v>7487.9145589248</v>
      </c>
      <c r="L31" s="16">
        <f>3.7244281536*E31*G31</f>
        <v>81.341510874624</v>
      </c>
      <c r="M31" s="16">
        <f>40.20324*E31*G31</f>
        <v>878.0387616</v>
      </c>
      <c r="N31" s="16">
        <f>SUM(H31:M31)</f>
        <v>17227.682447399424</v>
      </c>
      <c r="O31" s="16">
        <f>N31/12/L54</f>
        <v>0.4426889312210768</v>
      </c>
      <c r="P31" s="16">
        <f>N31/12/Q1</f>
        <v>0.4426889312210768</v>
      </c>
      <c r="Q31" s="17">
        <f t="shared" si="1"/>
        <v>0.5000171478142063</v>
      </c>
      <c r="R31" s="16">
        <v>0.53</v>
      </c>
    </row>
    <row r="32" spans="2:18" s="20" customFormat="1" ht="25.5">
      <c r="B32" s="14">
        <v>18</v>
      </c>
      <c r="C32" s="15" t="s">
        <v>56</v>
      </c>
      <c r="D32" s="25" t="s">
        <v>55</v>
      </c>
      <c r="E32" s="25">
        <v>7.28</v>
      </c>
      <c r="F32" s="25">
        <v>2</v>
      </c>
      <c r="G32" s="25">
        <v>3</v>
      </c>
      <c r="H32" s="16">
        <f>377.66679878172*E32*G32</f>
        <v>8248.242885392765</v>
      </c>
      <c r="I32" s="16">
        <f t="shared" si="4"/>
        <v>0</v>
      </c>
      <c r="J32" s="16">
        <f t="shared" si="2"/>
        <v>0</v>
      </c>
      <c r="K32" s="16">
        <f>322.07424600105*E32*G32</f>
        <v>7034.101532662933</v>
      </c>
      <c r="L32" s="16">
        <f>3.4987052239139*E32*G32</f>
        <v>76.41172209027958</v>
      </c>
      <c r="M32" s="16">
        <f>37.766679878172*E32*G32</f>
        <v>824.8242885392765</v>
      </c>
      <c r="N32" s="16">
        <v>16183.57</v>
      </c>
      <c r="O32" s="16">
        <f>N32/12/L54</f>
        <v>0.41585902970500566</v>
      </c>
      <c r="P32" s="16">
        <f>N32/12/Q1</f>
        <v>0.41585902970500566</v>
      </c>
      <c r="Q32" s="17">
        <f t="shared" si="1"/>
        <v>0.4697127740518039</v>
      </c>
      <c r="R32" s="16">
        <v>0.51</v>
      </c>
    </row>
    <row r="33" spans="2:18" s="20" customFormat="1" ht="25.5">
      <c r="B33" s="14">
        <v>19</v>
      </c>
      <c r="C33" s="15" t="s">
        <v>57</v>
      </c>
      <c r="D33" s="25" t="s">
        <v>55</v>
      </c>
      <c r="E33" s="25">
        <v>7.28</v>
      </c>
      <c r="F33" s="25">
        <v>2</v>
      </c>
      <c r="G33" s="25">
        <v>3</v>
      </c>
      <c r="H33" s="16">
        <f>158.37639878172*E33*G33</f>
        <v>3458.940549392765</v>
      </c>
      <c r="I33" s="16">
        <f t="shared" si="4"/>
        <v>0</v>
      </c>
      <c r="J33" s="16">
        <f t="shared" si="2"/>
        <v>0</v>
      </c>
      <c r="K33" s="16">
        <f>135.06339288105*E33*G33</f>
        <v>2949.7845005221316</v>
      </c>
      <c r="L33" s="16">
        <f>1.4671989583139*E33*G33</f>
        <v>32.04362524957558</v>
      </c>
      <c r="M33" s="16">
        <f>15.837639878172*E33*G33</f>
        <v>345.89405493927654</v>
      </c>
      <c r="N33" s="16">
        <v>6786.65</v>
      </c>
      <c r="O33" s="16">
        <f>N33/12/L54</f>
        <v>0.17439228080994965</v>
      </c>
      <c r="P33" s="16">
        <f>N33/12/Q1</f>
        <v>0.17439228080994965</v>
      </c>
      <c r="Q33" s="17">
        <v>0.19</v>
      </c>
      <c r="R33" s="16">
        <f t="shared" si="0"/>
        <v>0.21101465978003908</v>
      </c>
    </row>
    <row r="34" spans="2:18" s="20" customFormat="1" ht="25.5">
      <c r="B34" s="14">
        <v>20</v>
      </c>
      <c r="C34" s="15" t="s">
        <v>58</v>
      </c>
      <c r="D34" s="25" t="s">
        <v>59</v>
      </c>
      <c r="E34" s="25">
        <v>72.8</v>
      </c>
      <c r="F34" s="25">
        <v>2</v>
      </c>
      <c r="G34" s="25">
        <v>2</v>
      </c>
      <c r="H34" s="16">
        <f>88.67997*E34*G34</f>
        <v>12911.803632</v>
      </c>
      <c r="I34" s="16">
        <f t="shared" si="4"/>
        <v>0</v>
      </c>
      <c r="J34" s="16">
        <f t="shared" si="2"/>
        <v>0</v>
      </c>
      <c r="K34" s="16">
        <f>75.626278416*E34*G34</f>
        <v>11011.186137369601</v>
      </c>
      <c r="L34" s="16">
        <f>0.82153124208*E34*G34</f>
        <v>119.614948846848</v>
      </c>
      <c r="M34" s="16">
        <f>8.867997*E34*G34</f>
        <v>1291.1803632</v>
      </c>
      <c r="N34" s="16">
        <v>25333.78</v>
      </c>
      <c r="O34" s="16">
        <f>N34/12/L54</f>
        <v>0.6509862267447836</v>
      </c>
      <c r="P34" s="16">
        <f>N34/12/Q1</f>
        <v>0.6509862267447836</v>
      </c>
      <c r="Q34" s="17">
        <v>0.73</v>
      </c>
      <c r="R34" s="16">
        <f t="shared" si="0"/>
        <v>0.787693334361188</v>
      </c>
    </row>
    <row r="35" spans="1:19" s="19" customFormat="1" ht="25.5">
      <c r="A35" s="13"/>
      <c r="B35" s="14">
        <v>21</v>
      </c>
      <c r="C35" s="15" t="s">
        <v>60</v>
      </c>
      <c r="D35" s="25" t="s">
        <v>61</v>
      </c>
      <c r="E35" s="25">
        <v>1.8</v>
      </c>
      <c r="F35" s="25">
        <v>2</v>
      </c>
      <c r="G35" s="25">
        <v>2</v>
      </c>
      <c r="H35" s="16">
        <f>5365.248*E35*G35</f>
        <v>19314.892799999998</v>
      </c>
      <c r="I35" s="16">
        <f t="shared" si="4"/>
        <v>0</v>
      </c>
      <c r="J35" s="16">
        <f t="shared" si="2"/>
        <v>0</v>
      </c>
      <c r="K35" s="16">
        <f>4575.4834944*E35*G35</f>
        <v>16471.740579840003</v>
      </c>
      <c r="L35" s="16">
        <f>49.703657472*E35*G35</f>
        <v>178.93316689920002</v>
      </c>
      <c r="M35" s="16">
        <f>536.5248*E35*G35</f>
        <v>1931.4892800000002</v>
      </c>
      <c r="N35" s="16">
        <v>37897.05</v>
      </c>
      <c r="O35" s="16">
        <f>N35/12/L54</f>
        <v>0.9738166820844897</v>
      </c>
      <c r="P35" s="16">
        <f>N35/12/Q1</f>
        <v>0.9738166820844897</v>
      </c>
      <c r="Q35" s="17">
        <f t="shared" si="1"/>
        <v>1.0999259424144312</v>
      </c>
      <c r="R35" s="16">
        <v>1.17</v>
      </c>
      <c r="S35" s="18"/>
    </row>
    <row r="36" spans="2:18" s="4" customFormat="1" ht="15">
      <c r="B36" s="134" t="s">
        <v>62</v>
      </c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6"/>
      <c r="R36" s="16"/>
    </row>
    <row r="37" spans="2:18" s="20" customFormat="1" ht="38.25">
      <c r="B37" s="14">
        <v>22</v>
      </c>
      <c r="C37" s="15" t="s">
        <v>63</v>
      </c>
      <c r="D37" s="25" t="s">
        <v>64</v>
      </c>
      <c r="E37" s="25">
        <v>3.243</v>
      </c>
      <c r="F37" s="25">
        <v>32</v>
      </c>
      <c r="G37" s="110">
        <v>22</v>
      </c>
      <c r="H37" s="16">
        <f>1102.41648*E37*G37</f>
        <v>78653.00618208</v>
      </c>
      <c r="I37" s="16">
        <f>0*E37*G37</f>
        <v>0</v>
      </c>
      <c r="J37" s="16">
        <f>0*E37*G37</f>
        <v>0</v>
      </c>
      <c r="K37" s="16">
        <f>940.140774144*E37*G37</f>
        <v>67075.28367207783</v>
      </c>
      <c r="L37" s="16">
        <f>10.21278627072*E37*G37</f>
        <v>728.641449270789</v>
      </c>
      <c r="M37" s="16">
        <f>110.241648*E37*G37</f>
        <v>7865.300618208</v>
      </c>
      <c r="N37" s="16">
        <f>SUM(H37:M37)</f>
        <v>154322.23192163664</v>
      </c>
      <c r="O37" s="16">
        <f>N37/12/L54</f>
        <v>3.965521428760321</v>
      </c>
      <c r="P37" s="16">
        <f>N37/12/Q1</f>
        <v>3.965521428760321</v>
      </c>
      <c r="Q37" s="17">
        <f t="shared" si="1"/>
        <v>4.479056453784782</v>
      </c>
      <c r="R37" s="16">
        <f t="shared" si="0"/>
        <v>4.798280928799988</v>
      </c>
    </row>
    <row r="38" spans="1:19" s="23" customFormat="1" ht="16.5">
      <c r="A38" s="21"/>
      <c r="B38" s="137" t="s">
        <v>65</v>
      </c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9"/>
      <c r="R38" s="16"/>
      <c r="S38" s="22"/>
    </row>
    <row r="39" spans="2:18" s="20" customFormat="1" ht="25.5">
      <c r="B39" s="14">
        <v>23</v>
      </c>
      <c r="C39" s="15" t="s">
        <v>66</v>
      </c>
      <c r="D39" s="25" t="s">
        <v>67</v>
      </c>
      <c r="E39" s="25">
        <v>0.004</v>
      </c>
      <c r="F39" s="25">
        <v>24</v>
      </c>
      <c r="G39" s="25">
        <v>240</v>
      </c>
      <c r="H39" s="16">
        <f>9567.69048*E39*G39</f>
        <v>9184.982860799999</v>
      </c>
      <c r="I39" s="16">
        <f>279.24*E39*G39</f>
        <v>268.0704</v>
      </c>
      <c r="J39" s="16">
        <f>0*E39*G39</f>
        <v>0</v>
      </c>
      <c r="K39" s="16">
        <f>8159.326441344*E39*G39</f>
        <v>7832.953383690239</v>
      </c>
      <c r="L39" s="16">
        <f>90.03128460672*E39*G39</f>
        <v>86.43003322245121</v>
      </c>
      <c r="M39" s="16">
        <f>956.769048*E39*G39</f>
        <v>918.4982860800001</v>
      </c>
      <c r="N39" s="16">
        <f>SUM(H39:M39)</f>
        <v>18290.934963792693</v>
      </c>
      <c r="O39" s="16">
        <f>N39/12/L54</f>
        <v>0.47001066306384764</v>
      </c>
      <c r="P39" s="16">
        <f>N39/12/Q1</f>
        <v>0.47001066306384764</v>
      </c>
      <c r="Q39" s="17">
        <f t="shared" si="1"/>
        <v>0.530877043930616</v>
      </c>
      <c r="R39" s="16">
        <f t="shared" si="0"/>
        <v>0.5687129023072557</v>
      </c>
    </row>
    <row r="40" spans="2:18" s="20" customFormat="1" ht="12.75">
      <c r="B40" s="14">
        <v>24</v>
      </c>
      <c r="C40" s="15" t="s">
        <v>68</v>
      </c>
      <c r="D40" s="25" t="s">
        <v>69</v>
      </c>
      <c r="E40" s="25">
        <v>8.76</v>
      </c>
      <c r="F40" s="25">
        <v>2</v>
      </c>
      <c r="G40" s="25">
        <v>8.8</v>
      </c>
      <c r="H40" s="16">
        <f>97.0272*E40*G40</f>
        <v>7479.632793600001</v>
      </c>
      <c r="I40" s="16">
        <f>0*E40*G40</f>
        <v>0</v>
      </c>
      <c r="J40" s="16">
        <f>0*E40*G40</f>
        <v>0</v>
      </c>
      <c r="K40" s="16">
        <f>82.74479616*E40*G40</f>
        <v>6378.630846382081</v>
      </c>
      <c r="L40" s="16">
        <f>0.8988599808*E40*G40</f>
        <v>69.2913181999104</v>
      </c>
      <c r="M40" s="16">
        <f>9.70272*E40*G40</f>
        <v>747.96327936</v>
      </c>
      <c r="N40" s="16">
        <v>14675.51</v>
      </c>
      <c r="O40" s="16">
        <f>N40/12/L54</f>
        <v>0.377107359440847</v>
      </c>
      <c r="P40" s="16">
        <f>N40/12/Q1</f>
        <v>0.377107359440847</v>
      </c>
      <c r="Q40" s="17">
        <f t="shared" si="1"/>
        <v>0.4259427624884367</v>
      </c>
      <c r="R40" s="16">
        <f t="shared" si="0"/>
        <v>0.45629990492342487</v>
      </c>
    </row>
    <row r="41" spans="2:18" s="20" customFormat="1" ht="25.5">
      <c r="B41" s="14">
        <v>25</v>
      </c>
      <c r="C41" s="15" t="s">
        <v>70</v>
      </c>
      <c r="D41" s="25" t="s">
        <v>71</v>
      </c>
      <c r="E41" s="25">
        <v>0.4</v>
      </c>
      <c r="F41" s="25">
        <v>6</v>
      </c>
      <c r="G41" s="25">
        <v>150</v>
      </c>
      <c r="H41" s="16">
        <f>111.58128*E41*G41</f>
        <v>6694.876800000001</v>
      </c>
      <c r="I41" s="16">
        <f>2.05424*E41*G41</f>
        <v>123.25440000000002</v>
      </c>
      <c r="J41" s="16">
        <f>0*E41*G41</f>
        <v>0</v>
      </c>
      <c r="K41" s="16">
        <f>95.156515584*E41*G41</f>
        <v>5709.39093504</v>
      </c>
      <c r="L41" s="16">
        <f>1.04396017792*E41*G41</f>
        <v>62.63761067520001</v>
      </c>
      <c r="M41" s="16">
        <f>11.158128*E41*G41</f>
        <v>669.4876800000001</v>
      </c>
      <c r="N41" s="16">
        <f>SUM(H41:M41)</f>
        <v>13259.6474257152</v>
      </c>
      <c r="O41" s="16">
        <f>N41/12/L54</f>
        <v>0.3407248284950971</v>
      </c>
      <c r="P41" s="16">
        <f>N41/12/Q1</f>
        <v>0.3407248284950971</v>
      </c>
      <c r="Q41" s="17">
        <f t="shared" si="1"/>
        <v>0.3848486937852122</v>
      </c>
      <c r="R41" s="16">
        <f t="shared" si="0"/>
        <v>0.4122770424790675</v>
      </c>
    </row>
    <row r="42" spans="2:18" s="20" customFormat="1" ht="25.5">
      <c r="B42" s="14">
        <v>26</v>
      </c>
      <c r="C42" s="15" t="s">
        <v>72</v>
      </c>
      <c r="D42" s="25" t="s">
        <v>71</v>
      </c>
      <c r="E42" s="25">
        <v>0.4</v>
      </c>
      <c r="F42" s="25">
        <v>72</v>
      </c>
      <c r="G42" s="25">
        <v>250</v>
      </c>
      <c r="H42" s="16">
        <f>20.61828*E42*G42</f>
        <v>2061.828</v>
      </c>
      <c r="I42" s="16">
        <f>1.2*E42*G42</f>
        <v>120</v>
      </c>
      <c r="J42" s="16">
        <f>0*E42*G42</f>
        <v>0</v>
      </c>
      <c r="K42" s="16">
        <f>17.583269184*E42*G42</f>
        <v>1758.3269183999998</v>
      </c>
      <c r="L42" s="16">
        <f>0.19700774592*E42*G42</f>
        <v>19.700774592000002</v>
      </c>
      <c r="M42" s="16">
        <f>2.061828*E42*G42</f>
        <v>206.18280000000001</v>
      </c>
      <c r="N42" s="16">
        <f>SUM(H42:M42)</f>
        <v>4166.038492991999</v>
      </c>
      <c r="O42" s="16">
        <f>N42/12/L54</f>
        <v>0.10705207351711375</v>
      </c>
      <c r="P42" s="16">
        <f>N42/12/Q1</f>
        <v>0.10705207351711375</v>
      </c>
      <c r="Q42" s="17">
        <f t="shared" si="1"/>
        <v>0.12091531703757999</v>
      </c>
      <c r="R42" s="16">
        <f t="shared" si="0"/>
        <v>0.12953300895570763</v>
      </c>
    </row>
    <row r="43" spans="2:18" s="20" customFormat="1" ht="24.75" customHeight="1">
      <c r="B43" s="14">
        <v>27</v>
      </c>
      <c r="C43" s="15" t="s">
        <v>73</v>
      </c>
      <c r="D43" s="133" t="s">
        <v>74</v>
      </c>
      <c r="E43" s="133"/>
      <c r="F43" s="133"/>
      <c r="G43" s="133"/>
      <c r="H43" s="133"/>
      <c r="I43" s="133"/>
      <c r="J43" s="133"/>
      <c r="K43" s="133"/>
      <c r="L43" s="133"/>
      <c r="M43" s="133"/>
      <c r="N43" s="111">
        <v>33856.92</v>
      </c>
      <c r="O43" s="111">
        <f>N43/12/L54</f>
        <v>0.87</v>
      </c>
      <c r="P43" s="16">
        <v>0.23</v>
      </c>
      <c r="Q43" s="17">
        <f t="shared" si="1"/>
        <v>0.259785</v>
      </c>
      <c r="R43" s="16">
        <f t="shared" si="0"/>
        <v>0.2783</v>
      </c>
    </row>
    <row r="44" spans="2:18" s="20" customFormat="1" ht="31.5" customHeight="1">
      <c r="B44" s="14">
        <v>28</v>
      </c>
      <c r="C44" s="15" t="s">
        <v>75</v>
      </c>
      <c r="D44" s="133" t="s">
        <v>74</v>
      </c>
      <c r="E44" s="133"/>
      <c r="F44" s="133"/>
      <c r="G44" s="133"/>
      <c r="H44" s="133"/>
      <c r="I44" s="133"/>
      <c r="J44" s="133"/>
      <c r="K44" s="133"/>
      <c r="L44" s="133"/>
      <c r="M44" s="133"/>
      <c r="N44" s="111">
        <v>34635.24</v>
      </c>
      <c r="O44" s="111">
        <f>N44/12/L54</f>
        <v>0.89</v>
      </c>
      <c r="P44" s="16">
        <v>0.13</v>
      </c>
      <c r="Q44" s="17">
        <f t="shared" si="1"/>
        <v>0.146835</v>
      </c>
      <c r="R44" s="16">
        <f t="shared" si="0"/>
        <v>0.1573</v>
      </c>
    </row>
    <row r="45" spans="2:18" s="26" customFormat="1" ht="12.75">
      <c r="B45" s="142" t="s">
        <v>76</v>
      </c>
      <c r="C45" s="142"/>
      <c r="D45" s="142"/>
      <c r="E45" s="142"/>
      <c r="F45" s="142"/>
      <c r="G45" s="142"/>
      <c r="H45" s="27">
        <f aca="true" t="shared" si="5" ref="H45:M45">SUM(H6:H42)</f>
        <v>200880.94782822122</v>
      </c>
      <c r="I45" s="27">
        <f t="shared" si="5"/>
        <v>42707.259464341216</v>
      </c>
      <c r="J45" s="27">
        <f t="shared" si="5"/>
        <v>0</v>
      </c>
      <c r="K45" s="27">
        <f t="shared" si="5"/>
        <v>171890.09597510702</v>
      </c>
      <c r="L45" s="27">
        <f t="shared" si="5"/>
        <v>2077.3915163383494</v>
      </c>
      <c r="M45" s="27">
        <f t="shared" si="5"/>
        <v>20088.094782822118</v>
      </c>
      <c r="N45" s="27">
        <f>N7+N9+N12+N14+N16+N18+N19+N20+N22+N23+N24+N25+N26+N27+N28+N29+N30+N31+N32+N33+N34+N35+N37+N39+N40+N41+N42+N43+N44</f>
        <v>509638.34093194536</v>
      </c>
      <c r="O45" s="27">
        <v>13.09</v>
      </c>
      <c r="P45" s="28">
        <v>11.69</v>
      </c>
      <c r="Q45" s="28">
        <v>13.2</v>
      </c>
      <c r="R45" s="125">
        <v>14.15</v>
      </c>
    </row>
    <row r="46" spans="3:18" s="4" customFormat="1" ht="12">
      <c r="C46" s="29"/>
      <c r="N46" s="30"/>
      <c r="O46" s="30"/>
      <c r="P46" s="31"/>
      <c r="Q46" s="112"/>
      <c r="R46" s="124"/>
    </row>
    <row r="47" spans="3:17" s="4" customFormat="1" ht="12">
      <c r="C47" s="29"/>
      <c r="N47" s="30"/>
      <c r="O47" s="30"/>
      <c r="P47" s="31"/>
      <c r="Q47" s="32"/>
    </row>
    <row r="48" spans="14:15" ht="12">
      <c r="N48" s="33"/>
      <c r="O48" s="33"/>
    </row>
    <row r="49" spans="3:15" ht="19.5">
      <c r="C49" s="34"/>
      <c r="D49" s="130" t="s">
        <v>77</v>
      </c>
      <c r="E49" s="130"/>
      <c r="F49" s="130"/>
      <c r="G49" s="130"/>
      <c r="H49" s="130"/>
      <c r="I49" s="130"/>
      <c r="J49" s="130"/>
      <c r="K49" s="130"/>
      <c r="L49" s="130"/>
      <c r="N49" s="33"/>
      <c r="O49" s="33"/>
    </row>
    <row r="50" spans="3:12" ht="15.75">
      <c r="C50" s="34"/>
      <c r="D50" s="35" t="s">
        <v>78</v>
      </c>
      <c r="E50" s="140">
        <f>H45</f>
        <v>200880.94782822122</v>
      </c>
      <c r="F50" s="140"/>
      <c r="G50" s="140"/>
      <c r="H50" s="36"/>
      <c r="I50" s="36"/>
      <c r="J50" s="35" t="s">
        <v>79</v>
      </c>
      <c r="K50" s="140">
        <f>K45</f>
        <v>171890.09597510702</v>
      </c>
      <c r="L50" s="140"/>
    </row>
    <row r="51" spans="3:12" ht="15.75">
      <c r="C51" s="34"/>
      <c r="D51" s="35" t="s">
        <v>80</v>
      </c>
      <c r="E51" s="140">
        <f>I45</f>
        <v>42707.259464341216</v>
      </c>
      <c r="F51" s="140"/>
      <c r="G51" s="140"/>
      <c r="H51" s="36"/>
      <c r="I51" s="36"/>
      <c r="J51" s="35" t="s">
        <v>81</v>
      </c>
      <c r="K51" s="140">
        <f>L45</f>
        <v>2077.3915163383494</v>
      </c>
      <c r="L51" s="140"/>
    </row>
    <row r="52" spans="3:12" ht="15.75">
      <c r="C52" s="34"/>
      <c r="D52" s="35" t="s">
        <v>82</v>
      </c>
      <c r="E52" s="140">
        <f>J45</f>
        <v>0</v>
      </c>
      <c r="F52" s="140"/>
      <c r="G52" s="140"/>
      <c r="H52" s="36"/>
      <c r="I52" s="36"/>
      <c r="J52" s="35" t="s">
        <v>83</v>
      </c>
      <c r="K52" s="140">
        <f>M45</f>
        <v>20088.094782822118</v>
      </c>
      <c r="L52" s="140"/>
    </row>
    <row r="53" spans="3:12" ht="15.75">
      <c r="C53" s="34"/>
      <c r="D53" s="35"/>
      <c r="E53" s="37"/>
      <c r="F53" s="36"/>
      <c r="G53" s="37"/>
      <c r="H53" s="36"/>
      <c r="I53" s="36"/>
      <c r="J53" s="35" t="s">
        <v>84</v>
      </c>
      <c r="K53" s="140">
        <f>N45</f>
        <v>509638.34093194536</v>
      </c>
      <c r="L53" s="140"/>
    </row>
    <row r="54" spans="10:12" ht="15">
      <c r="J54" s="38" t="s">
        <v>85</v>
      </c>
      <c r="L54" s="39">
        <v>3243</v>
      </c>
    </row>
    <row r="55" spans="10:12" ht="15">
      <c r="J55" s="38"/>
      <c r="L55" s="39"/>
    </row>
    <row r="56" spans="3:18" s="114" customFormat="1" ht="12">
      <c r="C56" s="115" t="s">
        <v>175</v>
      </c>
      <c r="G56" s="116"/>
      <c r="H56" s="117"/>
      <c r="I56" s="117"/>
      <c r="J56" s="117"/>
      <c r="K56" s="117"/>
      <c r="L56" s="117"/>
      <c r="M56" s="117"/>
      <c r="N56" s="118"/>
      <c r="O56" s="118"/>
      <c r="P56" s="118"/>
      <c r="Q56" s="118"/>
      <c r="R56" s="118"/>
    </row>
    <row r="57" spans="3:18" s="114" customFormat="1" ht="12">
      <c r="C57" s="119"/>
      <c r="G57" s="116"/>
      <c r="H57" s="117"/>
      <c r="I57" s="117"/>
      <c r="J57" s="117"/>
      <c r="K57" s="117"/>
      <c r="L57" s="117"/>
      <c r="M57" s="117"/>
      <c r="N57" s="118"/>
      <c r="O57" s="118"/>
      <c r="P57" s="118"/>
      <c r="Q57" s="118"/>
      <c r="R57" s="118"/>
    </row>
    <row r="58" spans="3:18" s="114" customFormat="1" ht="12">
      <c r="C58" s="115" t="s">
        <v>176</v>
      </c>
      <c r="G58" s="116"/>
      <c r="H58" s="117"/>
      <c r="I58" s="117"/>
      <c r="J58" s="117"/>
      <c r="K58" s="117"/>
      <c r="L58" s="117"/>
      <c r="M58" s="117"/>
      <c r="N58" s="118"/>
      <c r="O58" s="118"/>
      <c r="P58" s="118"/>
      <c r="Q58" s="118"/>
      <c r="R58" s="118"/>
    </row>
    <row r="59" spans="3:18" s="114" customFormat="1" ht="12">
      <c r="C59" s="119"/>
      <c r="G59" s="116"/>
      <c r="H59" s="117"/>
      <c r="I59" s="117"/>
      <c r="J59" s="117"/>
      <c r="K59" s="117"/>
      <c r="L59" s="117"/>
      <c r="M59" s="117"/>
      <c r="N59" s="118"/>
      <c r="O59" s="118"/>
      <c r="P59" s="118"/>
      <c r="Q59" s="118"/>
      <c r="R59" s="118"/>
    </row>
    <row r="60" spans="3:18" s="114" customFormat="1" ht="12">
      <c r="C60" s="120" t="s">
        <v>178</v>
      </c>
      <c r="G60" s="116"/>
      <c r="H60" s="117"/>
      <c r="I60" s="117"/>
      <c r="J60" s="117"/>
      <c r="K60" s="117"/>
      <c r="L60" s="117"/>
      <c r="M60" s="117"/>
      <c r="N60" s="118"/>
      <c r="O60" s="118"/>
      <c r="P60" s="118"/>
      <c r="Q60" s="118"/>
      <c r="R60" s="118"/>
    </row>
    <row r="61" spans="3:18" s="114" customFormat="1" ht="12">
      <c r="C61" s="120"/>
      <c r="G61" s="116"/>
      <c r="H61" s="117"/>
      <c r="I61" s="117"/>
      <c r="J61" s="117"/>
      <c r="K61" s="117"/>
      <c r="L61" s="117"/>
      <c r="M61" s="117"/>
      <c r="N61" s="118"/>
      <c r="O61" s="118"/>
      <c r="P61" s="118"/>
      <c r="Q61" s="118"/>
      <c r="R61" s="118"/>
    </row>
    <row r="62" spans="3:18" s="114" customFormat="1" ht="12">
      <c r="C62" s="115" t="s">
        <v>179</v>
      </c>
      <c r="G62" s="116"/>
      <c r="H62" s="117"/>
      <c r="I62" s="117"/>
      <c r="J62" s="117"/>
      <c r="K62" s="117"/>
      <c r="L62" s="117"/>
      <c r="M62" s="117"/>
      <c r="N62" s="118"/>
      <c r="O62" s="118"/>
      <c r="P62" s="118"/>
      <c r="Q62" s="118"/>
      <c r="R62" s="118"/>
    </row>
    <row r="63" spans="3:18" s="114" customFormat="1" ht="12">
      <c r="C63" s="115"/>
      <c r="G63" s="116"/>
      <c r="H63" s="117"/>
      <c r="I63" s="117"/>
      <c r="J63" s="117"/>
      <c r="K63" s="117"/>
      <c r="L63" s="117"/>
      <c r="M63" s="117"/>
      <c r="N63" s="118"/>
      <c r="O63" s="118"/>
      <c r="P63" s="118"/>
      <c r="Q63" s="118"/>
      <c r="R63" s="118"/>
    </row>
    <row r="64" spans="3:18" s="114" customFormat="1" ht="12">
      <c r="C64" s="115" t="s">
        <v>180</v>
      </c>
      <c r="G64" s="116"/>
      <c r="H64" s="117"/>
      <c r="I64" s="117"/>
      <c r="J64" s="117"/>
      <c r="K64" s="117"/>
      <c r="L64" s="117"/>
      <c r="M64" s="117"/>
      <c r="N64" s="118"/>
      <c r="O64" s="118"/>
      <c r="P64" s="118"/>
      <c r="Q64" s="118"/>
      <c r="R64" s="118"/>
    </row>
    <row r="65" spans="3:18" s="114" customFormat="1" ht="12">
      <c r="C65" s="115"/>
      <c r="G65" s="116"/>
      <c r="H65" s="117"/>
      <c r="I65" s="117"/>
      <c r="J65" s="117"/>
      <c r="K65" s="117"/>
      <c r="L65" s="117"/>
      <c r="M65" s="117"/>
      <c r="N65" s="118"/>
      <c r="O65" s="118"/>
      <c r="P65" s="118"/>
      <c r="Q65" s="118"/>
      <c r="R65" s="118"/>
    </row>
    <row r="66" spans="3:18" s="114" customFormat="1" ht="12">
      <c r="C66" s="115" t="s">
        <v>181</v>
      </c>
      <c r="G66" s="116"/>
      <c r="H66" s="117"/>
      <c r="I66" s="117"/>
      <c r="J66" s="117"/>
      <c r="K66" s="117"/>
      <c r="L66" s="117"/>
      <c r="M66" s="117"/>
      <c r="N66" s="118"/>
      <c r="O66" s="118"/>
      <c r="P66" s="118"/>
      <c r="Q66" s="118"/>
      <c r="R66" s="118"/>
    </row>
    <row r="67" spans="3:18" s="114" customFormat="1" ht="12">
      <c r="C67" s="119"/>
      <c r="G67" s="116"/>
      <c r="H67" s="117"/>
      <c r="I67" s="117"/>
      <c r="J67" s="117"/>
      <c r="K67" s="117"/>
      <c r="L67" s="117"/>
      <c r="M67" s="117"/>
      <c r="N67" s="118"/>
      <c r="O67" s="118"/>
      <c r="P67" s="118"/>
      <c r="Q67" s="118"/>
      <c r="R67" s="118"/>
    </row>
    <row r="68" spans="3:18" s="114" customFormat="1" ht="12">
      <c r="C68" s="115" t="s">
        <v>182</v>
      </c>
      <c r="G68" s="116"/>
      <c r="H68" s="117"/>
      <c r="I68" s="117"/>
      <c r="J68" s="117"/>
      <c r="K68" s="117"/>
      <c r="L68" s="117"/>
      <c r="M68" s="117"/>
      <c r="N68" s="118"/>
      <c r="O68" s="118"/>
      <c r="P68" s="118"/>
      <c r="Q68" s="118"/>
      <c r="R68" s="118"/>
    </row>
    <row r="69" spans="3:18" s="114" customFormat="1" ht="12">
      <c r="C69" s="115"/>
      <c r="G69" s="116"/>
      <c r="H69" s="117"/>
      <c r="I69" s="117"/>
      <c r="J69" s="117"/>
      <c r="K69" s="117"/>
      <c r="L69" s="117"/>
      <c r="M69" s="117"/>
      <c r="N69" s="118"/>
      <c r="O69" s="118"/>
      <c r="P69" s="118"/>
      <c r="Q69" s="118"/>
      <c r="R69" s="118"/>
    </row>
    <row r="70" spans="3:18" s="114" customFormat="1" ht="12">
      <c r="C70" s="115" t="s">
        <v>183</v>
      </c>
      <c r="G70" s="116"/>
      <c r="H70" s="117"/>
      <c r="I70" s="117"/>
      <c r="J70" s="117"/>
      <c r="K70" s="117"/>
      <c r="L70" s="117"/>
      <c r="M70" s="117"/>
      <c r="N70" s="118"/>
      <c r="O70" s="118"/>
      <c r="P70" s="118"/>
      <c r="Q70" s="118"/>
      <c r="R70" s="118"/>
    </row>
    <row r="71" s="121" customFormat="1" ht="12"/>
    <row r="72" spans="2:17" s="45" customFormat="1" ht="12.75">
      <c r="B72" s="40"/>
      <c r="C72" s="41" t="s">
        <v>86</v>
      </c>
      <c r="D72" s="42"/>
      <c r="E72" s="43"/>
      <c r="F72" s="42"/>
      <c r="G72" s="43"/>
      <c r="H72" s="42"/>
      <c r="I72" s="42"/>
      <c r="J72" s="44"/>
      <c r="P72" s="46"/>
      <c r="Q72" s="47"/>
    </row>
    <row r="73" spans="2:17" s="45" customFormat="1" ht="12.75">
      <c r="B73" s="40"/>
      <c r="C73" s="48"/>
      <c r="D73" s="42"/>
      <c r="E73" s="43"/>
      <c r="F73" s="42"/>
      <c r="G73" s="43"/>
      <c r="H73" s="42"/>
      <c r="I73" s="42"/>
      <c r="J73" s="44"/>
      <c r="P73" s="46"/>
      <c r="Q73" s="47"/>
    </row>
    <row r="74" spans="2:17" s="45" customFormat="1" ht="12.75">
      <c r="B74" s="40"/>
      <c r="C74" s="49"/>
      <c r="D74" s="40"/>
      <c r="E74" s="50"/>
      <c r="F74" s="40"/>
      <c r="G74" s="50"/>
      <c r="H74" s="40"/>
      <c r="I74" s="40"/>
      <c r="J74" s="40"/>
      <c r="P74" s="46"/>
      <c r="Q74" s="47"/>
    </row>
    <row r="75" spans="2:17" s="45" customFormat="1" ht="12.75">
      <c r="B75" s="51"/>
      <c r="C75" s="49"/>
      <c r="D75" s="40"/>
      <c r="E75" s="50"/>
      <c r="F75" s="40"/>
      <c r="G75" s="50"/>
      <c r="H75" s="40"/>
      <c r="I75" s="40"/>
      <c r="J75" s="40"/>
      <c r="P75" s="46"/>
      <c r="Q75" s="47"/>
    </row>
    <row r="76" spans="2:17" s="45" customFormat="1" ht="12.75">
      <c r="B76" s="40"/>
      <c r="C76" s="52" t="s">
        <v>87</v>
      </c>
      <c r="D76" s="53"/>
      <c r="E76" s="54"/>
      <c r="F76" s="53"/>
      <c r="G76" s="54"/>
      <c r="H76" s="53"/>
      <c r="I76" s="53"/>
      <c r="J76" s="53"/>
      <c r="P76" s="46"/>
      <c r="Q76" s="47"/>
    </row>
    <row r="77" spans="2:17" s="45" customFormat="1" ht="12.75">
      <c r="B77" s="40"/>
      <c r="C77" s="55" t="s">
        <v>88</v>
      </c>
      <c r="D77" s="56">
        <v>101055.8</v>
      </c>
      <c r="E77" s="54"/>
      <c r="F77" s="53"/>
      <c r="G77" s="54"/>
      <c r="H77" s="53"/>
      <c r="I77" s="40"/>
      <c r="J77" s="53"/>
      <c r="P77" s="46"/>
      <c r="Q77" s="47"/>
    </row>
    <row r="78" spans="2:17" s="45" customFormat="1" ht="12.75">
      <c r="B78" s="40"/>
      <c r="C78" s="55" t="s">
        <v>89</v>
      </c>
      <c r="D78" s="57">
        <v>0.7</v>
      </c>
      <c r="E78" s="54"/>
      <c r="F78" s="53"/>
      <c r="G78" s="54"/>
      <c r="H78" s="53"/>
      <c r="I78" s="40"/>
      <c r="J78" s="53"/>
      <c r="P78" s="46"/>
      <c r="Q78" s="47"/>
    </row>
    <row r="79" spans="2:17" s="45" customFormat="1" ht="12.75">
      <c r="B79" s="40"/>
      <c r="C79" s="55" t="s">
        <v>90</v>
      </c>
      <c r="D79" s="56">
        <v>70739.06</v>
      </c>
      <c r="E79" s="54" t="s">
        <v>91</v>
      </c>
      <c r="F79" s="53"/>
      <c r="G79" s="54"/>
      <c r="H79" s="53"/>
      <c r="I79" s="40"/>
      <c r="J79" s="53"/>
      <c r="P79" s="46"/>
      <c r="Q79" s="47"/>
    </row>
    <row r="80" spans="2:17" s="45" customFormat="1" ht="12.75">
      <c r="B80" s="40"/>
      <c r="C80" s="55" t="s">
        <v>92</v>
      </c>
      <c r="D80" s="56">
        <v>424434.36</v>
      </c>
      <c r="E80" s="54" t="s">
        <v>91</v>
      </c>
      <c r="F80" s="53"/>
      <c r="G80" s="54"/>
      <c r="H80" s="53"/>
      <c r="I80" s="40"/>
      <c r="J80" s="53"/>
      <c r="P80" s="46"/>
      <c r="Q80" s="47"/>
    </row>
    <row r="81" spans="2:17" s="45" customFormat="1" ht="12.75">
      <c r="B81" s="40"/>
      <c r="C81" s="55"/>
      <c r="D81" s="53"/>
      <c r="E81" s="54"/>
      <c r="F81" s="53"/>
      <c r="G81" s="54"/>
      <c r="H81" s="53"/>
      <c r="I81" s="53"/>
      <c r="J81" s="53"/>
      <c r="P81" s="46"/>
      <c r="Q81" s="47"/>
    </row>
    <row r="82" spans="2:17" s="45" customFormat="1" ht="12.75">
      <c r="B82" s="40"/>
      <c r="C82" s="55" t="s">
        <v>93</v>
      </c>
      <c r="D82" s="58">
        <v>155331.9</v>
      </c>
      <c r="E82" s="54"/>
      <c r="F82" s="53"/>
      <c r="G82" s="54"/>
      <c r="H82" s="53"/>
      <c r="I82" s="40"/>
      <c r="J82" s="53"/>
      <c r="P82" s="46"/>
      <c r="Q82" s="47"/>
    </row>
    <row r="83" spans="2:17" s="45" customFormat="1" ht="12.75">
      <c r="B83" s="40"/>
      <c r="C83" s="55" t="s">
        <v>94</v>
      </c>
      <c r="D83" s="59">
        <v>0.23</v>
      </c>
      <c r="E83" s="54" t="s">
        <v>95</v>
      </c>
      <c r="F83" s="53"/>
      <c r="G83" s="54"/>
      <c r="H83" s="53"/>
      <c r="I83" s="40"/>
      <c r="J83" s="53"/>
      <c r="P83" s="46"/>
      <c r="Q83" s="47"/>
    </row>
    <row r="84" spans="2:17" s="45" customFormat="1" ht="12.75">
      <c r="B84" s="40"/>
      <c r="C84" s="55"/>
      <c r="D84" s="53"/>
      <c r="E84" s="54"/>
      <c r="F84" s="53"/>
      <c r="G84" s="54"/>
      <c r="H84" s="53"/>
      <c r="I84" s="53"/>
      <c r="J84" s="53"/>
      <c r="P84" s="46"/>
      <c r="Q84" s="47"/>
    </row>
    <row r="85" spans="2:17" s="45" customFormat="1" ht="12.75">
      <c r="B85" s="40"/>
      <c r="C85" s="55"/>
      <c r="D85" s="53"/>
      <c r="E85" s="54"/>
      <c r="F85" s="53"/>
      <c r="G85" s="54"/>
      <c r="H85" s="53"/>
      <c r="I85" s="53"/>
      <c r="J85" s="53"/>
      <c r="P85" s="46"/>
      <c r="Q85" s="47"/>
    </row>
    <row r="86" spans="2:17" s="45" customFormat="1" ht="12.75">
      <c r="B86" s="40"/>
      <c r="C86" s="52" t="s">
        <v>96</v>
      </c>
      <c r="D86" s="53"/>
      <c r="E86" s="54"/>
      <c r="F86" s="53"/>
      <c r="G86" s="54"/>
      <c r="H86" s="53"/>
      <c r="I86" s="53"/>
      <c r="J86" s="53"/>
      <c r="P86" s="46"/>
      <c r="Q86" s="47"/>
    </row>
    <row r="87" spans="2:17" s="45" customFormat="1" ht="12.75">
      <c r="B87" s="40"/>
      <c r="C87" s="55" t="s">
        <v>97</v>
      </c>
      <c r="D87" s="58">
        <v>101055.8</v>
      </c>
      <c r="E87" s="54"/>
      <c r="F87" s="53"/>
      <c r="G87" s="54"/>
      <c r="H87" s="53"/>
      <c r="I87" s="40"/>
      <c r="J87" s="53"/>
      <c r="P87" s="46"/>
      <c r="Q87" s="47"/>
    </row>
    <row r="88" spans="2:17" s="45" customFormat="1" ht="12.75">
      <c r="B88" s="40"/>
      <c r="C88" s="55" t="s">
        <v>98</v>
      </c>
      <c r="D88" s="58">
        <v>1.2</v>
      </c>
      <c r="E88" s="54"/>
      <c r="F88" s="53"/>
      <c r="G88" s="54"/>
      <c r="H88" s="53"/>
      <c r="I88" s="40"/>
      <c r="J88" s="53"/>
      <c r="P88" s="46"/>
      <c r="Q88" s="47"/>
    </row>
    <row r="89" spans="2:17" s="45" customFormat="1" ht="12.75">
      <c r="B89" s="40"/>
      <c r="C89" s="55" t="s">
        <v>99</v>
      </c>
      <c r="D89" s="58">
        <v>121266.96</v>
      </c>
      <c r="E89" s="54"/>
      <c r="F89" s="53"/>
      <c r="G89" s="54"/>
      <c r="H89" s="53"/>
      <c r="I89" s="40"/>
      <c r="J89" s="53"/>
      <c r="P89" s="46"/>
      <c r="Q89" s="47"/>
    </row>
    <row r="90" spans="2:17" s="45" customFormat="1" ht="12.75">
      <c r="B90" s="40"/>
      <c r="C90" s="55" t="s">
        <v>100</v>
      </c>
      <c r="D90" s="58">
        <v>242533.92</v>
      </c>
      <c r="E90" s="54"/>
      <c r="F90" s="53"/>
      <c r="G90" s="54"/>
      <c r="H90" s="53"/>
      <c r="I90" s="40"/>
      <c r="J90" s="53"/>
      <c r="P90" s="46"/>
      <c r="Q90" s="47"/>
    </row>
    <row r="91" spans="2:17" s="45" customFormat="1" ht="12.75">
      <c r="B91" s="40"/>
      <c r="C91" s="55"/>
      <c r="D91" s="53"/>
      <c r="E91" s="54"/>
      <c r="F91" s="53"/>
      <c r="G91" s="54"/>
      <c r="H91" s="53"/>
      <c r="I91" s="58"/>
      <c r="J91" s="53"/>
      <c r="P91" s="46"/>
      <c r="Q91" s="47"/>
    </row>
    <row r="92" spans="2:17" s="45" customFormat="1" ht="12.75">
      <c r="B92" s="40"/>
      <c r="C92" s="55" t="s">
        <v>93</v>
      </c>
      <c r="D92" s="58">
        <v>155331.9</v>
      </c>
      <c r="E92" s="54"/>
      <c r="F92" s="53"/>
      <c r="G92" s="54"/>
      <c r="H92" s="53"/>
      <c r="I92" s="40"/>
      <c r="J92" s="53"/>
      <c r="P92" s="46"/>
      <c r="Q92" s="47"/>
    </row>
    <row r="93" spans="2:17" s="45" customFormat="1" ht="12.75">
      <c r="B93" s="40"/>
      <c r="C93" s="55" t="s">
        <v>94</v>
      </c>
      <c r="D93" s="59">
        <v>0.13</v>
      </c>
      <c r="E93" s="54" t="s">
        <v>95</v>
      </c>
      <c r="F93" s="53"/>
      <c r="G93" s="54"/>
      <c r="H93" s="53"/>
      <c r="I93" s="40"/>
      <c r="J93" s="53"/>
      <c r="P93" s="46"/>
      <c r="Q93" s="47"/>
    </row>
    <row r="94" spans="2:17" s="45" customFormat="1" ht="12.75">
      <c r="B94" s="40"/>
      <c r="C94" s="55"/>
      <c r="D94" s="53"/>
      <c r="E94" s="54"/>
      <c r="F94" s="53"/>
      <c r="G94" s="54"/>
      <c r="H94" s="53"/>
      <c r="I94" s="53"/>
      <c r="J94" s="53"/>
      <c r="P94" s="46"/>
      <c r="Q94" s="47"/>
    </row>
    <row r="95" spans="2:17" s="45" customFormat="1" ht="12.75">
      <c r="B95" s="40"/>
      <c r="C95" s="55"/>
      <c r="D95" s="53"/>
      <c r="E95" s="54"/>
      <c r="F95" s="53"/>
      <c r="G95" s="54"/>
      <c r="H95" s="53"/>
      <c r="I95" s="53"/>
      <c r="J95" s="53"/>
      <c r="P95" s="46"/>
      <c r="Q95" s="47"/>
    </row>
    <row r="96" spans="2:17" s="45" customFormat="1" ht="12.75">
      <c r="B96" s="40"/>
      <c r="C96" s="60" t="s">
        <v>101</v>
      </c>
      <c r="D96" s="61"/>
      <c r="E96" s="62"/>
      <c r="F96" s="40"/>
      <c r="G96" s="50"/>
      <c r="H96" s="40"/>
      <c r="I96" s="40"/>
      <c r="J96" s="40"/>
      <c r="P96" s="46"/>
      <c r="Q96" s="47"/>
    </row>
    <row r="97" spans="2:17" s="45" customFormat="1" ht="12.75">
      <c r="B97" s="40"/>
      <c r="C97" s="63"/>
      <c r="D97" s="61"/>
      <c r="E97" s="62"/>
      <c r="F97" s="40"/>
      <c r="G97" s="50"/>
      <c r="H97" s="40"/>
      <c r="I97" s="40"/>
      <c r="J97" s="40"/>
      <c r="P97" s="46"/>
      <c r="Q97" s="47"/>
    </row>
    <row r="98" spans="2:17" s="45" customFormat="1" ht="12.75">
      <c r="B98" s="40"/>
      <c r="C98" s="63" t="s">
        <v>102</v>
      </c>
      <c r="D98" s="64">
        <v>93836.2</v>
      </c>
      <c r="E98" s="62"/>
      <c r="F98" s="40"/>
      <c r="G98" s="50"/>
      <c r="H98" s="40"/>
      <c r="I98" s="40"/>
      <c r="J98" s="40"/>
      <c r="P98" s="46"/>
      <c r="Q98" s="47"/>
    </row>
    <row r="99" spans="2:17" s="45" customFormat="1" ht="12.75">
      <c r="B99" s="40"/>
      <c r="C99" s="63" t="s">
        <v>103</v>
      </c>
      <c r="D99" s="64">
        <v>261936.23</v>
      </c>
      <c r="E99" s="62" t="s">
        <v>91</v>
      </c>
      <c r="F99" s="40"/>
      <c r="G99" s="50"/>
      <c r="H99" s="40"/>
      <c r="I99" s="40"/>
      <c r="J99" s="40"/>
      <c r="P99" s="46"/>
      <c r="Q99" s="47"/>
    </row>
    <row r="100" spans="2:17" s="45" customFormat="1" ht="12.75">
      <c r="B100" s="40"/>
      <c r="C100" s="63" t="s">
        <v>166</v>
      </c>
      <c r="D100" s="64">
        <f>D99*3%</f>
        <v>7858.0869</v>
      </c>
      <c r="E100" s="62"/>
      <c r="F100" s="40"/>
      <c r="G100" s="50"/>
      <c r="H100" s="40"/>
      <c r="I100" s="40"/>
      <c r="J100" s="40"/>
      <c r="P100" s="46"/>
      <c r="Q100" s="47"/>
    </row>
    <row r="101" spans="2:17" s="45" customFormat="1" ht="12.75">
      <c r="B101" s="40"/>
      <c r="C101" s="63" t="s">
        <v>167</v>
      </c>
      <c r="D101" s="64">
        <f>D99*6%</f>
        <v>15716.1738</v>
      </c>
      <c r="E101" s="62"/>
      <c r="F101" s="40"/>
      <c r="G101" s="50"/>
      <c r="H101" s="40"/>
      <c r="I101" s="40"/>
      <c r="J101" s="40"/>
      <c r="P101" s="46"/>
      <c r="Q101" s="47"/>
    </row>
    <row r="102" spans="2:17" s="45" customFormat="1" ht="12.75">
      <c r="B102" s="40"/>
      <c r="C102" s="63" t="s">
        <v>168</v>
      </c>
      <c r="D102" s="64">
        <f>D99*6%</f>
        <v>15716.1738</v>
      </c>
      <c r="E102" s="62"/>
      <c r="F102" s="40"/>
      <c r="G102" s="50"/>
      <c r="H102" s="40"/>
      <c r="I102" s="40"/>
      <c r="J102" s="40"/>
      <c r="P102" s="46"/>
      <c r="Q102" s="47"/>
    </row>
    <row r="103" spans="2:17" s="45" customFormat="1" ht="12.75">
      <c r="B103" s="40"/>
      <c r="C103" s="104" t="s">
        <v>169</v>
      </c>
      <c r="D103" s="64">
        <f>SUM(D99:D102)/3</f>
        <v>100408.88816666667</v>
      </c>
      <c r="E103" s="62"/>
      <c r="F103" s="40"/>
      <c r="G103" s="50"/>
      <c r="H103" s="40"/>
      <c r="I103" s="40"/>
      <c r="J103" s="40"/>
      <c r="P103" s="46"/>
      <c r="Q103" s="47"/>
    </row>
    <row r="104" spans="2:17" s="45" customFormat="1" ht="12.75">
      <c r="B104" s="40"/>
      <c r="C104" s="63" t="s">
        <v>94</v>
      </c>
      <c r="D104" s="64">
        <f>D103/D98/12</f>
        <v>0.08917035586716238</v>
      </c>
      <c r="E104" s="62" t="s">
        <v>95</v>
      </c>
      <c r="F104" s="40"/>
      <c r="G104" s="50"/>
      <c r="H104" s="40"/>
      <c r="I104" s="40"/>
      <c r="J104" s="40"/>
      <c r="P104" s="46"/>
      <c r="Q104" s="47"/>
    </row>
    <row r="105" spans="2:17" s="45" customFormat="1" ht="12.75">
      <c r="B105" s="40"/>
      <c r="D105" s="65"/>
      <c r="E105" s="62"/>
      <c r="F105" s="40"/>
      <c r="G105" s="50"/>
      <c r="H105" s="40"/>
      <c r="I105" s="40"/>
      <c r="J105" s="40"/>
      <c r="P105" s="46"/>
      <c r="Q105" s="47"/>
    </row>
    <row r="106" spans="2:17" s="45" customFormat="1" ht="12.75">
      <c r="B106" s="40"/>
      <c r="C106" s="49"/>
      <c r="D106" s="40"/>
      <c r="E106" s="50"/>
      <c r="F106" s="40"/>
      <c r="G106" s="50"/>
      <c r="H106" s="40"/>
      <c r="I106" s="40"/>
      <c r="J106" s="40"/>
      <c r="P106" s="46"/>
      <c r="Q106" s="47"/>
    </row>
    <row r="107" spans="2:17" s="45" customFormat="1" ht="12.75">
      <c r="B107" s="40"/>
      <c r="C107" s="49"/>
      <c r="D107" s="40"/>
      <c r="E107" s="50"/>
      <c r="F107" s="40"/>
      <c r="G107" s="50"/>
      <c r="H107" s="40"/>
      <c r="I107" s="40"/>
      <c r="J107" s="40"/>
      <c r="P107" s="46"/>
      <c r="Q107" s="47"/>
    </row>
    <row r="108" spans="2:17" s="45" customFormat="1" ht="12.75">
      <c r="B108" s="40"/>
      <c r="C108" s="49"/>
      <c r="D108" s="40"/>
      <c r="E108" s="50"/>
      <c r="F108" s="40"/>
      <c r="G108" s="50"/>
      <c r="H108" s="40"/>
      <c r="I108" s="40"/>
      <c r="J108" s="40"/>
      <c r="P108" s="46"/>
      <c r="Q108" s="47"/>
    </row>
    <row r="109" spans="3:17" s="45" customFormat="1" ht="12.75">
      <c r="C109" s="66"/>
      <c r="E109" s="20"/>
      <c r="G109" s="20"/>
      <c r="P109" s="46"/>
      <c r="Q109" s="47"/>
    </row>
    <row r="110" spans="3:17" s="45" customFormat="1" ht="12.75">
      <c r="C110" s="66"/>
      <c r="E110" s="20"/>
      <c r="G110" s="20"/>
      <c r="P110" s="46"/>
      <c r="Q110" s="47"/>
    </row>
    <row r="111" spans="3:17" s="45" customFormat="1" ht="12.75">
      <c r="C111" s="67" t="s">
        <v>104</v>
      </c>
      <c r="E111" s="20"/>
      <c r="G111" s="20"/>
      <c r="M111" s="46"/>
      <c r="N111" s="46"/>
      <c r="O111" s="46"/>
      <c r="Q111" s="47"/>
    </row>
    <row r="112" spans="5:17" s="45" customFormat="1" ht="12.75">
      <c r="E112" s="20"/>
      <c r="G112" s="20"/>
      <c r="M112" s="46"/>
      <c r="N112" s="46"/>
      <c r="O112" s="46"/>
      <c r="Q112" s="47"/>
    </row>
    <row r="113" spans="3:17" s="45" customFormat="1" ht="12.75">
      <c r="C113" s="45" t="s">
        <v>105</v>
      </c>
      <c r="E113" s="20"/>
      <c r="G113" s="20"/>
      <c r="M113" s="46"/>
      <c r="N113" s="46"/>
      <c r="O113" s="46"/>
      <c r="Q113" s="47"/>
    </row>
    <row r="114" spans="5:17" s="45" customFormat="1" ht="12.75">
      <c r="E114" s="20"/>
      <c r="G114" s="20"/>
      <c r="M114" s="46"/>
      <c r="N114" s="46"/>
      <c r="O114" s="46"/>
      <c r="Q114" s="47"/>
    </row>
    <row r="115" spans="5:17" s="45" customFormat="1" ht="12.75">
      <c r="E115" s="20"/>
      <c r="G115" s="20"/>
      <c r="M115" s="46"/>
      <c r="N115" s="46"/>
      <c r="O115" s="46"/>
      <c r="Q115" s="47"/>
    </row>
    <row r="116" spans="5:17" s="45" customFormat="1" ht="12.75">
      <c r="E116" s="20"/>
      <c r="G116" s="20"/>
      <c r="M116" s="46"/>
      <c r="N116" s="46"/>
      <c r="O116" s="46"/>
      <c r="Q116" s="47"/>
    </row>
    <row r="117" spans="3:17" s="45" customFormat="1" ht="60.75" customHeight="1">
      <c r="C117" s="45" t="s">
        <v>106</v>
      </c>
      <c r="E117" s="20"/>
      <c r="G117" s="20"/>
      <c r="M117" s="46"/>
      <c r="N117" s="46"/>
      <c r="O117" s="46"/>
      <c r="Q117" s="47"/>
    </row>
    <row r="118" spans="3:17" s="45" customFormat="1" ht="20.25" customHeight="1">
      <c r="C118" s="45" t="s">
        <v>107</v>
      </c>
      <c r="E118" s="20"/>
      <c r="G118" s="20"/>
      <c r="M118" s="46"/>
      <c r="N118" s="46"/>
      <c r="O118" s="46"/>
      <c r="Q118" s="47"/>
    </row>
    <row r="119" spans="3:17" s="45" customFormat="1" ht="12.75">
      <c r="C119" s="45" t="s">
        <v>108</v>
      </c>
      <c r="E119" s="20"/>
      <c r="G119" s="20"/>
      <c r="M119" s="46"/>
      <c r="N119" s="46"/>
      <c r="O119" s="46"/>
      <c r="Q119" s="47"/>
    </row>
    <row r="120" spans="3:17" s="45" customFormat="1" ht="12.75">
      <c r="C120" s="45" t="s">
        <v>109</v>
      </c>
      <c r="E120" s="20"/>
      <c r="G120" s="20"/>
      <c r="M120" s="46"/>
      <c r="N120" s="46"/>
      <c r="O120" s="46"/>
      <c r="Q120" s="47"/>
    </row>
    <row r="121" spans="3:17" s="45" customFormat="1" ht="12.75">
      <c r="C121" s="45" t="s">
        <v>110</v>
      </c>
      <c r="E121" s="20"/>
      <c r="G121" s="20"/>
      <c r="M121" s="46"/>
      <c r="N121" s="46"/>
      <c r="O121" s="46"/>
      <c r="Q121" s="47"/>
    </row>
    <row r="122" spans="3:17" s="45" customFormat="1" ht="12.75">
      <c r="C122" s="45" t="s">
        <v>111</v>
      </c>
      <c r="E122" s="20"/>
      <c r="G122" s="20"/>
      <c r="M122" s="46"/>
      <c r="N122" s="46"/>
      <c r="O122" s="46"/>
      <c r="Q122" s="47"/>
    </row>
    <row r="123" spans="3:17" s="45" customFormat="1" ht="12.75">
      <c r="C123" s="45" t="s">
        <v>112</v>
      </c>
      <c r="E123" s="20"/>
      <c r="G123" s="20"/>
      <c r="M123" s="46"/>
      <c r="N123" s="46"/>
      <c r="O123" s="46"/>
      <c r="Q123" s="47"/>
    </row>
    <row r="124" spans="3:17" s="45" customFormat="1" ht="12.75">
      <c r="C124" s="45" t="s">
        <v>113</v>
      </c>
      <c r="E124" s="20"/>
      <c r="G124" s="20"/>
      <c r="M124" s="46"/>
      <c r="N124" s="46"/>
      <c r="O124" s="46"/>
      <c r="Q124" s="47"/>
    </row>
    <row r="125" spans="3:17" s="45" customFormat="1" ht="12.75">
      <c r="C125" s="45" t="s">
        <v>114</v>
      </c>
      <c r="E125" s="20"/>
      <c r="G125" s="20"/>
      <c r="M125" s="46"/>
      <c r="N125" s="46"/>
      <c r="O125" s="46"/>
      <c r="Q125" s="47"/>
    </row>
    <row r="126" spans="3:17" s="45" customFormat="1" ht="12.75">
      <c r="C126" s="45" t="s">
        <v>115</v>
      </c>
      <c r="E126" s="20"/>
      <c r="G126" s="20"/>
      <c r="M126" s="46"/>
      <c r="N126" s="46"/>
      <c r="O126" s="46"/>
      <c r="Q126" s="47"/>
    </row>
    <row r="127" spans="3:17" s="45" customFormat="1" ht="12.75">
      <c r="C127" s="45" t="s">
        <v>116</v>
      </c>
      <c r="E127" s="20"/>
      <c r="G127" s="20"/>
      <c r="M127" s="46"/>
      <c r="N127" s="46"/>
      <c r="O127" s="46"/>
      <c r="Q127" s="47"/>
    </row>
    <row r="128" spans="3:17" s="45" customFormat="1" ht="12.75">
      <c r="C128" s="45" t="s">
        <v>117</v>
      </c>
      <c r="E128" s="20"/>
      <c r="G128" s="20"/>
      <c r="M128" s="46"/>
      <c r="N128" s="46"/>
      <c r="O128" s="46"/>
      <c r="Q128" s="47"/>
    </row>
    <row r="129" spans="3:17" s="45" customFormat="1" ht="12.75">
      <c r="C129" s="45" t="s">
        <v>118</v>
      </c>
      <c r="E129" s="20"/>
      <c r="G129" s="20"/>
      <c r="M129" s="46"/>
      <c r="N129" s="46"/>
      <c r="O129" s="46"/>
      <c r="Q129" s="47"/>
    </row>
    <row r="130" spans="5:17" s="45" customFormat="1" ht="12.75">
      <c r="E130" s="20"/>
      <c r="G130" s="20"/>
      <c r="M130" s="46"/>
      <c r="N130" s="46"/>
      <c r="O130" s="46"/>
      <c r="Q130" s="47"/>
    </row>
    <row r="131" spans="3:17" s="45" customFormat="1" ht="12.75">
      <c r="C131" s="45" t="s">
        <v>119</v>
      </c>
      <c r="E131" s="20"/>
      <c r="G131" s="20"/>
      <c r="M131" s="46"/>
      <c r="N131" s="46"/>
      <c r="O131" s="46"/>
      <c r="Q131" s="47"/>
    </row>
    <row r="132" spans="5:17" s="45" customFormat="1" ht="12.75">
      <c r="E132" s="20"/>
      <c r="G132" s="20"/>
      <c r="M132" s="46"/>
      <c r="N132" s="46"/>
      <c r="O132" s="46"/>
      <c r="Q132" s="47"/>
    </row>
    <row r="133" spans="3:17" s="45" customFormat="1" ht="12.75">
      <c r="C133" s="66"/>
      <c r="E133" s="20"/>
      <c r="G133" s="20"/>
      <c r="P133" s="46"/>
      <c r="Q133" s="47"/>
    </row>
  </sheetData>
  <sheetProtection formatCells="0" formatColumns="0" formatRows="0" insertColumns="0" insertRows="0" insertHyperlinks="0" deleteColumns="0" deleteRows="0" sort="0" autoFilter="0" pivotTables="0"/>
  <mergeCells count="25">
    <mergeCell ref="B1:N1"/>
    <mergeCell ref="B45:G45"/>
    <mergeCell ref="B4:P4"/>
    <mergeCell ref="B6:P6"/>
    <mergeCell ref="B5:P5"/>
    <mergeCell ref="B8:Q8"/>
    <mergeCell ref="B10:Q10"/>
    <mergeCell ref="B11:Q11"/>
    <mergeCell ref="B13:Q13"/>
    <mergeCell ref="B15:Q15"/>
    <mergeCell ref="K53:L53"/>
    <mergeCell ref="E50:G50"/>
    <mergeCell ref="K50:L50"/>
    <mergeCell ref="E51:G51"/>
    <mergeCell ref="K51:L51"/>
    <mergeCell ref="E52:G52"/>
    <mergeCell ref="K52:L52"/>
    <mergeCell ref="D49:L49"/>
    <mergeCell ref="D16:M16"/>
    <mergeCell ref="D43:M43"/>
    <mergeCell ref="D44:M44"/>
    <mergeCell ref="B21:Q21"/>
    <mergeCell ref="B36:Q36"/>
    <mergeCell ref="B38:Q38"/>
    <mergeCell ref="B17:Q17"/>
  </mergeCells>
  <printOptions/>
  <pageMargins left="0.35" right="0.35" top="0.35" bottom="0.35" header="0.3" footer="0.3"/>
  <pageSetup fitToHeight="0" fitToWidth="1" horizontalDpi="600" verticalDpi="600" orientation="landscape" paperSize="9" scale="60" r:id="rId2"/>
  <headerFooter alignWithMargins="0">
    <oddFooter>&amp;C-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6"/>
  <sheetViews>
    <sheetView tabSelected="1" workbookViewId="0" topLeftCell="A1">
      <selection activeCell="L13" sqref="L13"/>
    </sheetView>
  </sheetViews>
  <sheetFormatPr defaultColWidth="9.140625" defaultRowHeight="12"/>
  <cols>
    <col min="1" max="1" width="48.28125" style="69" customWidth="1"/>
    <col min="2" max="2" width="12.421875" style="69" customWidth="1"/>
    <col min="3" max="3" width="31.57421875" style="69" customWidth="1"/>
    <col min="4" max="4" width="0.13671875" style="69" hidden="1" customWidth="1"/>
    <col min="5" max="5" width="13.00390625" style="69" hidden="1" customWidth="1"/>
    <col min="6" max="6" width="8.28125" style="70" hidden="1" customWidth="1"/>
    <col min="7" max="7" width="15.00390625" style="69" customWidth="1"/>
    <col min="8" max="8" width="14.00390625" style="105" hidden="1" customWidth="1"/>
    <col min="9" max="9" width="17.7109375" style="69" customWidth="1"/>
    <col min="10" max="16384" width="9.140625" style="69" customWidth="1"/>
  </cols>
  <sheetData>
    <row r="2" ht="12.75">
      <c r="A2" s="68"/>
    </row>
    <row r="3" spans="1:8" ht="12.75">
      <c r="A3" s="68"/>
      <c r="C3" s="156"/>
      <c r="D3" s="156"/>
      <c r="E3" s="156"/>
      <c r="F3" s="71"/>
      <c r="G3" s="72"/>
      <c r="H3" s="106"/>
    </row>
    <row r="4" spans="1:4" ht="15" customHeight="1">
      <c r="A4" s="68"/>
      <c r="C4" s="73"/>
      <c r="D4" s="73"/>
    </row>
    <row r="5" ht="12.75">
      <c r="A5" s="68"/>
    </row>
    <row r="6" spans="1:4" ht="12.75">
      <c r="A6" s="128" t="s">
        <v>121</v>
      </c>
      <c r="B6" s="128"/>
      <c r="C6" s="128"/>
      <c r="D6" s="128"/>
    </row>
    <row r="8" spans="1:9" ht="15" customHeight="1">
      <c r="A8" s="160" t="s">
        <v>187</v>
      </c>
      <c r="B8" s="161"/>
      <c r="C8" s="162"/>
      <c r="D8" s="149" t="s">
        <v>122</v>
      </c>
      <c r="E8" s="149" t="s">
        <v>122</v>
      </c>
      <c r="F8" s="149" t="s">
        <v>123</v>
      </c>
      <c r="G8" s="149" t="s">
        <v>170</v>
      </c>
      <c r="H8" s="147" t="s">
        <v>171</v>
      </c>
      <c r="I8" s="171" t="s">
        <v>185</v>
      </c>
    </row>
    <row r="9" spans="1:9" ht="67.5" customHeight="1">
      <c r="A9" s="163"/>
      <c r="B9" s="164"/>
      <c r="C9" s="165"/>
      <c r="D9" s="150"/>
      <c r="E9" s="150"/>
      <c r="F9" s="150"/>
      <c r="G9" s="150"/>
      <c r="H9" s="148"/>
      <c r="I9" s="171"/>
    </row>
    <row r="10" spans="1:9" ht="12.75">
      <c r="A10" s="129" t="s">
        <v>124</v>
      </c>
      <c r="B10" s="158"/>
      <c r="C10" s="159"/>
      <c r="D10" s="74">
        <f>SUM(D11:D17)</f>
        <v>2.6700000000000004</v>
      </c>
      <c r="E10" s="75">
        <f>SUM(E11:E17)</f>
        <v>3.0200000000000005</v>
      </c>
      <c r="F10" s="76">
        <v>11.14</v>
      </c>
      <c r="G10" s="102"/>
      <c r="H10" s="107"/>
      <c r="I10" s="126"/>
    </row>
    <row r="11" spans="1:9" s="81" customFormat="1" ht="43.5" customHeight="1">
      <c r="A11" s="151" t="s">
        <v>125</v>
      </c>
      <c r="B11" s="151"/>
      <c r="C11" s="77" t="s">
        <v>126</v>
      </c>
      <c r="D11" s="78">
        <v>0.28</v>
      </c>
      <c r="E11" s="79">
        <v>0.3</v>
      </c>
      <c r="F11" s="80">
        <v>0.4</v>
      </c>
      <c r="G11" s="82">
        <v>0.42</v>
      </c>
      <c r="H11" s="80">
        <f>G11*12.95%+G11</f>
        <v>0.47439</v>
      </c>
      <c r="I11" s="80">
        <f>G11*21%+G11</f>
        <v>0.5082</v>
      </c>
    </row>
    <row r="12" spans="1:9" s="81" customFormat="1" ht="4.5" customHeight="1" hidden="1">
      <c r="A12" s="157" t="s">
        <v>127</v>
      </c>
      <c r="B12" s="127"/>
      <c r="C12" s="77" t="s">
        <v>128</v>
      </c>
      <c r="D12" s="78">
        <v>0.25</v>
      </c>
      <c r="E12" s="79">
        <v>0.27</v>
      </c>
      <c r="F12" s="82"/>
      <c r="G12" s="82"/>
      <c r="H12" s="80">
        <f aca="true" t="shared" si="0" ref="H12:H17">G12*12.95%+G12</f>
        <v>0</v>
      </c>
      <c r="I12" s="80">
        <f aca="true" t="shared" si="1" ref="I12:I34">G12*21%+G12</f>
        <v>0</v>
      </c>
    </row>
    <row r="13" spans="1:9" s="81" customFormat="1" ht="130.5" customHeight="1">
      <c r="A13" s="157" t="s">
        <v>164</v>
      </c>
      <c r="B13" s="127"/>
      <c r="C13" s="83" t="s">
        <v>129</v>
      </c>
      <c r="D13" s="84">
        <v>0.05</v>
      </c>
      <c r="E13" s="79">
        <v>0.07</v>
      </c>
      <c r="F13" s="80">
        <v>0.23</v>
      </c>
      <c r="G13" s="82">
        <v>0.09</v>
      </c>
      <c r="H13" s="80">
        <f t="shared" si="0"/>
        <v>0.101655</v>
      </c>
      <c r="I13" s="80">
        <f t="shared" si="1"/>
        <v>0.1089</v>
      </c>
    </row>
    <row r="14" spans="1:9" s="81" customFormat="1" ht="81" customHeight="1">
      <c r="A14" s="151" t="s">
        <v>165</v>
      </c>
      <c r="B14" s="151"/>
      <c r="C14" s="77" t="s">
        <v>130</v>
      </c>
      <c r="D14" s="78">
        <v>0.26</v>
      </c>
      <c r="E14" s="79">
        <v>0.28</v>
      </c>
      <c r="F14" s="80">
        <v>0.34</v>
      </c>
      <c r="G14" s="82">
        <v>0.91</v>
      </c>
      <c r="H14" s="80">
        <f t="shared" si="0"/>
        <v>1.0278450000000001</v>
      </c>
      <c r="I14" s="80">
        <f t="shared" si="1"/>
        <v>1.1011</v>
      </c>
    </row>
    <row r="15" spans="1:9" s="81" customFormat="1" ht="19.5" customHeight="1">
      <c r="A15" s="151" t="s">
        <v>131</v>
      </c>
      <c r="B15" s="151"/>
      <c r="C15" s="77" t="s">
        <v>132</v>
      </c>
      <c r="D15" s="78">
        <v>1.43</v>
      </c>
      <c r="E15" s="79">
        <v>1.45</v>
      </c>
      <c r="F15" s="80">
        <v>5.77</v>
      </c>
      <c r="G15" s="82">
        <v>3.97</v>
      </c>
      <c r="H15" s="80">
        <f t="shared" si="0"/>
        <v>4.484115</v>
      </c>
      <c r="I15" s="80">
        <f t="shared" si="1"/>
        <v>4.8037</v>
      </c>
    </row>
    <row r="16" spans="1:9" s="81" customFormat="1" ht="17.25" customHeight="1">
      <c r="A16" s="151" t="s">
        <v>133</v>
      </c>
      <c r="B16" s="151"/>
      <c r="C16" s="85" t="s">
        <v>126</v>
      </c>
      <c r="D16" s="78">
        <v>0.26</v>
      </c>
      <c r="E16" s="79">
        <v>0.28</v>
      </c>
      <c r="F16" s="80">
        <v>0.02</v>
      </c>
      <c r="G16" s="82">
        <v>0.28</v>
      </c>
      <c r="H16" s="80">
        <f t="shared" si="0"/>
        <v>0.31626000000000004</v>
      </c>
      <c r="I16" s="80">
        <f t="shared" si="1"/>
        <v>0.33880000000000005</v>
      </c>
    </row>
    <row r="17" spans="1:9" s="81" customFormat="1" ht="40.5" customHeight="1">
      <c r="A17" s="151" t="s">
        <v>134</v>
      </c>
      <c r="B17" s="151"/>
      <c r="C17" s="86" t="s">
        <v>135</v>
      </c>
      <c r="D17" s="78">
        <v>0.14</v>
      </c>
      <c r="E17" s="79">
        <v>0.37</v>
      </c>
      <c r="F17" s="80">
        <v>4.38</v>
      </c>
      <c r="G17" s="82">
        <v>0.76</v>
      </c>
      <c r="H17" s="80">
        <f t="shared" si="0"/>
        <v>0.85842</v>
      </c>
      <c r="I17" s="80">
        <f t="shared" si="1"/>
        <v>0.9196</v>
      </c>
    </row>
    <row r="18" spans="1:9" s="81" customFormat="1" ht="12.75">
      <c r="A18" s="168" t="s">
        <v>136</v>
      </c>
      <c r="B18" s="169"/>
      <c r="C18" s="170"/>
      <c r="D18" s="74">
        <f>SUM(D19:D23)</f>
        <v>0.17</v>
      </c>
      <c r="E18" s="75">
        <f>SUM(E19:E23)</f>
        <v>0.19</v>
      </c>
      <c r="F18" s="87">
        <v>3.54</v>
      </c>
      <c r="G18" s="100"/>
      <c r="H18" s="87"/>
      <c r="I18" s="80"/>
    </row>
    <row r="19" spans="1:9" s="81" customFormat="1" ht="55.5" customHeight="1">
      <c r="A19" s="151" t="s">
        <v>137</v>
      </c>
      <c r="B19" s="151"/>
      <c r="C19" s="77" t="s">
        <v>138</v>
      </c>
      <c r="D19" s="78">
        <v>0.17</v>
      </c>
      <c r="E19" s="79">
        <v>0.19</v>
      </c>
      <c r="F19" s="80">
        <v>2.36</v>
      </c>
      <c r="G19" s="82">
        <v>2.84</v>
      </c>
      <c r="H19" s="80">
        <f aca="true" t="shared" si="2" ref="H19:H24">G19*12.95%+G19</f>
        <v>3.2077799999999996</v>
      </c>
      <c r="I19" s="80">
        <f t="shared" si="1"/>
        <v>3.4364</v>
      </c>
    </row>
    <row r="20" spans="1:9" s="81" customFormat="1" ht="42.75" customHeight="1">
      <c r="A20" s="151" t="s">
        <v>37</v>
      </c>
      <c r="B20" s="151"/>
      <c r="C20" s="77" t="s">
        <v>139</v>
      </c>
      <c r="D20" s="78"/>
      <c r="E20" s="79"/>
      <c r="F20" s="80">
        <v>0.05</v>
      </c>
      <c r="G20" s="82">
        <v>0.11</v>
      </c>
      <c r="H20" s="80">
        <f t="shared" si="2"/>
        <v>0.124245</v>
      </c>
      <c r="I20" s="80">
        <f t="shared" si="1"/>
        <v>0.1331</v>
      </c>
    </row>
    <row r="21" spans="1:9" s="81" customFormat="1" ht="42.75" customHeight="1">
      <c r="A21" s="151" t="s">
        <v>18</v>
      </c>
      <c r="B21" s="151"/>
      <c r="C21" s="77" t="s">
        <v>140</v>
      </c>
      <c r="D21" s="78"/>
      <c r="E21" s="79"/>
      <c r="F21" s="80">
        <v>0.36</v>
      </c>
      <c r="G21" s="82">
        <v>0.36</v>
      </c>
      <c r="H21" s="80">
        <f t="shared" si="2"/>
        <v>0.40662</v>
      </c>
      <c r="I21" s="80">
        <f t="shared" si="1"/>
        <v>0.4356</v>
      </c>
    </row>
    <row r="22" spans="1:9" s="81" customFormat="1" ht="54.75" customHeight="1">
      <c r="A22" s="157" t="s">
        <v>41</v>
      </c>
      <c r="B22" s="127"/>
      <c r="C22" s="77" t="s">
        <v>130</v>
      </c>
      <c r="D22" s="78"/>
      <c r="E22" s="79"/>
      <c r="F22" s="80">
        <v>0.78</v>
      </c>
      <c r="G22" s="82">
        <v>0.29</v>
      </c>
      <c r="H22" s="80">
        <f t="shared" si="2"/>
        <v>0.327555</v>
      </c>
      <c r="I22" s="80">
        <f t="shared" si="1"/>
        <v>0.3509</v>
      </c>
    </row>
    <row r="23" spans="1:9" s="81" customFormat="1" ht="33" customHeight="1">
      <c r="A23" s="157" t="s">
        <v>141</v>
      </c>
      <c r="B23" s="127"/>
      <c r="C23" s="77" t="s">
        <v>142</v>
      </c>
      <c r="D23" s="78"/>
      <c r="E23" s="79"/>
      <c r="F23" s="80">
        <v>0</v>
      </c>
      <c r="G23" s="80">
        <v>0</v>
      </c>
      <c r="H23" s="80">
        <f t="shared" si="2"/>
        <v>0</v>
      </c>
      <c r="I23" s="80">
        <f t="shared" si="1"/>
        <v>0</v>
      </c>
    </row>
    <row r="24" spans="1:9" s="81" customFormat="1" ht="24.75" customHeight="1">
      <c r="A24" s="166" t="s">
        <v>143</v>
      </c>
      <c r="B24" s="167"/>
      <c r="C24" s="88" t="s">
        <v>144</v>
      </c>
      <c r="D24" s="78"/>
      <c r="E24" s="79"/>
      <c r="F24" s="80">
        <v>0</v>
      </c>
      <c r="G24" s="80">
        <v>0</v>
      </c>
      <c r="H24" s="80">
        <f t="shared" si="2"/>
        <v>0</v>
      </c>
      <c r="I24" s="80">
        <f t="shared" si="1"/>
        <v>0</v>
      </c>
    </row>
    <row r="25" spans="1:9" s="81" customFormat="1" ht="27.75" customHeight="1">
      <c r="A25" s="172" t="s">
        <v>163</v>
      </c>
      <c r="B25" s="172"/>
      <c r="C25" s="172"/>
      <c r="D25" s="89">
        <f>SUM(D27:D30)</f>
        <v>3.18</v>
      </c>
      <c r="E25" s="90">
        <f>SUM(E27:E30)</f>
        <v>3.26</v>
      </c>
      <c r="F25" s="87">
        <v>0.77</v>
      </c>
      <c r="G25" s="100"/>
      <c r="H25" s="87"/>
      <c r="I25" s="80"/>
    </row>
    <row r="26" spans="1:9" s="81" customFormat="1" ht="26.25" customHeight="1">
      <c r="A26" s="157" t="s">
        <v>66</v>
      </c>
      <c r="B26" s="127"/>
      <c r="C26" s="91" t="s">
        <v>145</v>
      </c>
      <c r="D26" s="89"/>
      <c r="E26" s="90"/>
      <c r="F26" s="80">
        <v>0.45</v>
      </c>
      <c r="G26" s="82">
        <v>0.47</v>
      </c>
      <c r="H26" s="80">
        <f>G26*12.95%+G26</f>
        <v>0.5308649999999999</v>
      </c>
      <c r="I26" s="80">
        <f t="shared" si="1"/>
        <v>0.5687</v>
      </c>
    </row>
    <row r="27" spans="1:9" s="81" customFormat="1" ht="39.75" customHeight="1">
      <c r="A27" s="151" t="s">
        <v>146</v>
      </c>
      <c r="B27" s="151"/>
      <c r="C27" s="91" t="s">
        <v>147</v>
      </c>
      <c r="D27" s="78">
        <v>0.75</v>
      </c>
      <c r="E27" s="79">
        <v>0.77</v>
      </c>
      <c r="F27" s="80">
        <v>0.26</v>
      </c>
      <c r="G27" s="82">
        <v>0.34</v>
      </c>
      <c r="H27" s="80">
        <f>G27*12.95%+G27</f>
        <v>0.38403000000000004</v>
      </c>
      <c r="I27" s="80">
        <f t="shared" si="1"/>
        <v>0.41140000000000004</v>
      </c>
    </row>
    <row r="28" spans="1:9" s="81" customFormat="1" ht="34.5" customHeight="1">
      <c r="A28" s="151" t="s">
        <v>148</v>
      </c>
      <c r="B28" s="151"/>
      <c r="C28" s="91" t="s">
        <v>149</v>
      </c>
      <c r="D28" s="78">
        <v>1.07</v>
      </c>
      <c r="E28" s="79">
        <v>1.09</v>
      </c>
      <c r="F28" s="80">
        <v>0.06</v>
      </c>
      <c r="G28" s="82">
        <v>0.11</v>
      </c>
      <c r="H28" s="80">
        <f>G28*12.95%+G28</f>
        <v>0.124245</v>
      </c>
      <c r="I28" s="80">
        <f t="shared" si="1"/>
        <v>0.1331</v>
      </c>
    </row>
    <row r="29" spans="1:9" s="81" customFormat="1" ht="20.25" customHeight="1" hidden="1">
      <c r="A29" s="151" t="s">
        <v>150</v>
      </c>
      <c r="B29" s="151"/>
      <c r="C29" s="91" t="s">
        <v>151</v>
      </c>
      <c r="D29" s="78">
        <v>0.68</v>
      </c>
      <c r="E29" s="79">
        <v>0.7</v>
      </c>
      <c r="F29" s="82"/>
      <c r="G29" s="82"/>
      <c r="H29" s="80"/>
      <c r="I29" s="80">
        <f t="shared" si="1"/>
        <v>0</v>
      </c>
    </row>
    <row r="30" spans="1:9" s="81" customFormat="1" ht="30" customHeight="1" hidden="1">
      <c r="A30" s="157" t="s">
        <v>152</v>
      </c>
      <c r="B30" s="127"/>
      <c r="C30" s="91" t="s">
        <v>153</v>
      </c>
      <c r="D30" s="78">
        <v>0.68</v>
      </c>
      <c r="E30" s="79">
        <v>0.7</v>
      </c>
      <c r="F30" s="82"/>
      <c r="G30" s="82"/>
      <c r="H30" s="80"/>
      <c r="I30" s="80">
        <f t="shared" si="1"/>
        <v>0</v>
      </c>
    </row>
    <row r="31" spans="1:9" s="81" customFormat="1" ht="12.75">
      <c r="A31" s="129" t="s">
        <v>154</v>
      </c>
      <c r="B31" s="158"/>
      <c r="C31" s="159"/>
      <c r="D31" s="74">
        <f>SUM(D33:D34)</f>
        <v>1.76</v>
      </c>
      <c r="E31" s="75">
        <f>SUM(E33:E34)</f>
        <v>1.77</v>
      </c>
      <c r="F31" s="92">
        <v>6.65</v>
      </c>
      <c r="G31" s="100"/>
      <c r="H31" s="87"/>
      <c r="I31" s="80"/>
    </row>
    <row r="32" spans="1:9" s="81" customFormat="1" ht="16.5" customHeight="1">
      <c r="A32" s="157" t="s">
        <v>68</v>
      </c>
      <c r="B32" s="127"/>
      <c r="C32" s="77" t="s">
        <v>126</v>
      </c>
      <c r="D32" s="74"/>
      <c r="E32" s="93"/>
      <c r="F32" s="80">
        <v>4.89</v>
      </c>
      <c r="G32" s="82">
        <v>0.38</v>
      </c>
      <c r="H32" s="80">
        <f>G32*12.95%+G32</f>
        <v>0.42921</v>
      </c>
      <c r="I32" s="80">
        <f t="shared" si="1"/>
        <v>0.4598</v>
      </c>
    </row>
    <row r="33" spans="1:9" s="81" customFormat="1" ht="17.25" customHeight="1">
      <c r="A33" s="151" t="s">
        <v>155</v>
      </c>
      <c r="B33" s="151"/>
      <c r="C33" s="77" t="s">
        <v>156</v>
      </c>
      <c r="D33" s="78">
        <v>0.87</v>
      </c>
      <c r="E33" s="94">
        <v>0.88</v>
      </c>
      <c r="F33" s="80">
        <v>0.87</v>
      </c>
      <c r="G33" s="82">
        <v>0.23</v>
      </c>
      <c r="H33" s="80">
        <f>G33*12.95%+G33</f>
        <v>0.259785</v>
      </c>
      <c r="I33" s="80">
        <f t="shared" si="1"/>
        <v>0.2783</v>
      </c>
    </row>
    <row r="34" spans="1:9" s="81" customFormat="1" ht="17.25" customHeight="1">
      <c r="A34" s="151" t="s">
        <v>157</v>
      </c>
      <c r="B34" s="151"/>
      <c r="C34" s="77" t="s">
        <v>126</v>
      </c>
      <c r="D34" s="78">
        <v>0.89</v>
      </c>
      <c r="E34" s="78">
        <v>0.89</v>
      </c>
      <c r="F34" s="80">
        <v>0.89</v>
      </c>
      <c r="G34" s="82">
        <v>0.13</v>
      </c>
      <c r="H34" s="80">
        <f>G34*12.95%+G34</f>
        <v>0.146835</v>
      </c>
      <c r="I34" s="80">
        <f t="shared" si="1"/>
        <v>0.1573</v>
      </c>
    </row>
    <row r="35" spans="1:9" s="81" customFormat="1" ht="12.75">
      <c r="A35" s="153" t="s">
        <v>158</v>
      </c>
      <c r="B35" s="154"/>
      <c r="C35" s="155"/>
      <c r="D35" s="74">
        <f>D10+D18+D25+D31</f>
        <v>7.78</v>
      </c>
      <c r="E35" s="75">
        <f>E10+E18+E25+E31</f>
        <v>8.24</v>
      </c>
      <c r="F35" s="87">
        <v>22.12</v>
      </c>
      <c r="G35" s="101">
        <v>11.69</v>
      </c>
      <c r="H35" s="108">
        <v>13.2</v>
      </c>
      <c r="I35" s="108">
        <v>14.15</v>
      </c>
    </row>
    <row r="36" spans="1:8" s="81" customFormat="1" ht="12.75">
      <c r="A36" s="95"/>
      <c r="B36" s="95"/>
      <c r="C36" s="95"/>
      <c r="D36" s="96"/>
      <c r="F36" s="97"/>
      <c r="H36" s="109"/>
    </row>
    <row r="37" spans="1:8" s="81" customFormat="1" ht="39" customHeight="1">
      <c r="A37" s="146" t="s">
        <v>172</v>
      </c>
      <c r="B37" s="146"/>
      <c r="C37" s="146"/>
      <c r="D37" s="146"/>
      <c r="E37" s="146"/>
      <c r="F37" s="146"/>
      <c r="H37" s="109"/>
    </row>
    <row r="38" spans="1:4" ht="12.75">
      <c r="A38" s="95"/>
      <c r="B38" s="95"/>
      <c r="C38" s="95"/>
      <c r="D38" s="96"/>
    </row>
    <row r="39" spans="1:6" ht="47.25" customHeight="1">
      <c r="A39" s="146" t="s">
        <v>159</v>
      </c>
      <c r="B39" s="146"/>
      <c r="C39" s="146"/>
      <c r="D39" s="146"/>
      <c r="E39" s="146"/>
      <c r="F39" s="146"/>
    </row>
    <row r="40" spans="1:6" ht="13.5" customHeight="1">
      <c r="A40" s="98"/>
      <c r="B40" s="98"/>
      <c r="C40" s="98"/>
      <c r="D40" s="98"/>
      <c r="E40" s="98"/>
      <c r="F40" s="98"/>
    </row>
    <row r="41" spans="1:8" s="121" customFormat="1" ht="22.5" customHeight="1">
      <c r="A41" s="146" t="s">
        <v>186</v>
      </c>
      <c r="B41" s="146"/>
      <c r="C41" s="146"/>
      <c r="D41" s="146"/>
      <c r="E41" s="146"/>
      <c r="F41" s="146"/>
      <c r="G41" s="146"/>
      <c r="H41" s="146"/>
    </row>
    <row r="42" spans="1:4" ht="12.75">
      <c r="A42" s="95"/>
      <c r="B42" s="95"/>
      <c r="C42" s="95"/>
      <c r="D42" s="96"/>
    </row>
    <row r="43" spans="1:4" ht="17.25" customHeight="1">
      <c r="A43" s="152" t="s">
        <v>160</v>
      </c>
      <c r="B43" s="152"/>
      <c r="C43" s="99"/>
      <c r="D43" s="81"/>
    </row>
    <row r="44" spans="1:4" ht="38.25" customHeight="1">
      <c r="A44" s="146" t="s">
        <v>161</v>
      </c>
      <c r="B44" s="146"/>
      <c r="C44" s="146"/>
      <c r="D44" s="146"/>
    </row>
    <row r="45" spans="1:4" ht="47.25" customHeight="1">
      <c r="A45" s="146" t="s">
        <v>162</v>
      </c>
      <c r="B45" s="146"/>
      <c r="C45" s="146"/>
      <c r="D45" s="146"/>
    </row>
    <row r="46" spans="1:4" ht="12.75">
      <c r="A46" s="98"/>
      <c r="B46" s="98"/>
      <c r="C46" s="98"/>
      <c r="D46" s="98"/>
    </row>
  </sheetData>
  <mergeCells count="41">
    <mergeCell ref="A29:B29"/>
    <mergeCell ref="A17:B17"/>
    <mergeCell ref="I8:I9"/>
    <mergeCell ref="A32:B32"/>
    <mergeCell ref="A25:C25"/>
    <mergeCell ref="A22:B22"/>
    <mergeCell ref="A21:B21"/>
    <mergeCell ref="A28:B28"/>
    <mergeCell ref="A27:B27"/>
    <mergeCell ref="A31:C31"/>
    <mergeCell ref="A23:B23"/>
    <mergeCell ref="A12:B12"/>
    <mergeCell ref="A30:B30"/>
    <mergeCell ref="D8:D9"/>
    <mergeCell ref="A20:B20"/>
    <mergeCell ref="A14:B14"/>
    <mergeCell ref="A15:B15"/>
    <mergeCell ref="A16:B16"/>
    <mergeCell ref="A13:B13"/>
    <mergeCell ref="A19:B19"/>
    <mergeCell ref="A18:C18"/>
    <mergeCell ref="A37:F37"/>
    <mergeCell ref="F8:F9"/>
    <mergeCell ref="C3:E3"/>
    <mergeCell ref="A26:B26"/>
    <mergeCell ref="E8:E9"/>
    <mergeCell ref="A6:D6"/>
    <mergeCell ref="A10:C10"/>
    <mergeCell ref="A11:B11"/>
    <mergeCell ref="A8:C9"/>
    <mergeCell ref="A24:B24"/>
    <mergeCell ref="A41:H41"/>
    <mergeCell ref="H8:H9"/>
    <mergeCell ref="G8:G9"/>
    <mergeCell ref="A45:D45"/>
    <mergeCell ref="A33:B33"/>
    <mergeCell ref="A34:B34"/>
    <mergeCell ref="A43:B43"/>
    <mergeCell ref="A35:C35"/>
    <mergeCell ref="A39:F39"/>
    <mergeCell ref="A44:D44"/>
  </mergeCells>
  <printOptions/>
  <pageMargins left="0.75" right="0.44" top="0.23" bottom="0.16" header="0.65" footer="0.22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2015-08-07T11:34:30Z</cp:lastPrinted>
  <dcterms:created xsi:type="dcterms:W3CDTF">2014-12-09T08:33:36Z</dcterms:created>
  <dcterms:modified xsi:type="dcterms:W3CDTF">2015-08-07T11:36:06Z</dcterms:modified>
  <cp:category/>
  <cp:version/>
  <cp:contentType/>
  <cp:contentStatus/>
</cp:coreProperties>
</file>